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mc:AlternateContent xmlns:mc="http://schemas.openxmlformats.org/markup-compatibility/2006">
    <mc:Choice Requires="x15">
      <x15ac:absPath xmlns:x15ac="http://schemas.microsoft.com/office/spreadsheetml/2010/11/ac" url="D:\Equities\Endgame\Z Corporate Finance Hub\DouYu International Holdings\"/>
    </mc:Choice>
  </mc:AlternateContent>
  <xr:revisionPtr revIDLastSave="0" documentId="13_ncr:1_{F4FD3840-9E02-46A0-950D-A44251F8B3B6}" xr6:coauthVersionLast="43" xr6:coauthVersionMax="43" xr10:uidLastSave="{00000000-0000-0000-0000-000000000000}"/>
  <bookViews>
    <workbookView xWindow="-108" yWindow="-108" windowWidth="23256" windowHeight="12576" xr2:uid="{00000000-000D-0000-FFFF-FFFF00000000}"/>
  </bookViews>
  <sheets>
    <sheet name="Trading Comparables" sheetId="1" r:id="rId1"/>
    <sheet name="Template" sheetId="7" state="hidden" r:id="rId2"/>
    <sheet name="Huya" sheetId="6" r:id="rId3"/>
    <sheet name="Inke" sheetId="8" r:id="rId4"/>
    <sheet name="Links &amp; Details" sheetId="2" state="hidden" r:id="rId5"/>
    <sheet name="YY" sheetId="10" r:id="rId6"/>
    <sheet name="Bilibili" sheetId="11" r:id="rId7"/>
    <sheet name="iQiyi" sheetId="12" r:id="rId8"/>
    <sheet name="DouYu" sheetId="13" r:id="rId9"/>
    <sheet name="Description of Comps" sheetId="4" r:id="rId10"/>
    <sheet name="Financial Metrics" sheetId="3"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21" i="1" l="1"/>
  <c r="E21" i="1"/>
  <c r="C21" i="1"/>
  <c r="D22" i="1"/>
  <c r="E22" i="1"/>
  <c r="F22" i="1"/>
  <c r="C22" i="1"/>
  <c r="F10" i="1"/>
  <c r="G10" i="1" s="1"/>
  <c r="M10" i="1" s="1"/>
  <c r="C19" i="13"/>
  <c r="C18" i="1"/>
  <c r="F18" i="1"/>
  <c r="E18" i="1"/>
  <c r="D18" i="1"/>
  <c r="F16" i="1"/>
  <c r="D15" i="1"/>
  <c r="E15" i="1"/>
  <c r="F15" i="1"/>
  <c r="C15" i="1"/>
  <c r="L10" i="1"/>
  <c r="K10" i="1"/>
  <c r="F16" i="13"/>
  <c r="E16" i="13"/>
  <c r="D16" i="13"/>
  <c r="C16" i="13"/>
  <c r="B16" i="13"/>
  <c r="E8" i="13"/>
  <c r="F12" i="13" s="1"/>
  <c r="D12" i="13"/>
  <c r="C12" i="13"/>
  <c r="B12" i="13"/>
  <c r="E12" i="13" s="1"/>
  <c r="E4" i="13"/>
  <c r="J10" i="1" s="1"/>
  <c r="H4" i="12"/>
  <c r="C31" i="12" s="1"/>
  <c r="G4" i="12"/>
  <c r="M8" i="1"/>
  <c r="M7" i="1"/>
  <c r="M6" i="1"/>
  <c r="M5" i="1"/>
  <c r="C13" i="1" l="1"/>
  <c r="C16" i="1" s="1"/>
  <c r="C17" i="1" s="1"/>
  <c r="C23" i="1" s="1"/>
  <c r="E13" i="1"/>
  <c r="E16" i="1" s="1"/>
  <c r="D13" i="1"/>
  <c r="D16" i="1" s="1"/>
  <c r="F17" i="1"/>
  <c r="L9" i="1"/>
  <c r="K9" i="1"/>
  <c r="J9" i="1"/>
  <c r="I9" i="1"/>
  <c r="F9" i="1"/>
  <c r="G9" i="1" s="1"/>
  <c r="D9" i="1"/>
  <c r="F23" i="12"/>
  <c r="C32" i="12"/>
  <c r="M9" i="1" s="1"/>
  <c r="B23" i="12"/>
  <c r="E23" i="12" s="1"/>
  <c r="D15" i="12"/>
  <c r="C15" i="12"/>
  <c r="F4" i="12"/>
  <c r="B15" i="12"/>
  <c r="E27" i="12"/>
  <c r="E19" i="12"/>
  <c r="E15" i="12"/>
  <c r="E11" i="12"/>
  <c r="F19" i="12" s="1"/>
  <c r="E7" i="12"/>
  <c r="F21" i="1" l="1"/>
  <c r="F23" i="1" s="1"/>
  <c r="E31" i="12"/>
  <c r="F31" i="12" s="1"/>
  <c r="D31" i="12"/>
  <c r="H9" i="1" s="1"/>
  <c r="F15" i="12"/>
  <c r="E31" i="6"/>
  <c r="D31" i="6"/>
  <c r="C32" i="6"/>
  <c r="C31" i="6"/>
  <c r="L7" i="1"/>
  <c r="K7" i="1"/>
  <c r="J7" i="1"/>
  <c r="I7" i="1"/>
  <c r="H7" i="1"/>
  <c r="L8" i="1"/>
  <c r="K8" i="1"/>
  <c r="J8" i="1"/>
  <c r="I8" i="1"/>
  <c r="H8" i="1"/>
  <c r="F8" i="1"/>
  <c r="G8" i="1" s="1"/>
  <c r="F31" i="11"/>
  <c r="C31" i="11"/>
  <c r="C32" i="11" s="1"/>
  <c r="B23" i="11"/>
  <c r="E27" i="11"/>
  <c r="E23" i="11"/>
  <c r="E19" i="11"/>
  <c r="F23" i="11" s="1"/>
  <c r="E15" i="11"/>
  <c r="E11" i="11"/>
  <c r="F19" i="11" s="1"/>
  <c r="E7" i="11"/>
  <c r="G7" i="1"/>
  <c r="F7" i="1"/>
  <c r="D7" i="1"/>
  <c r="F31" i="10"/>
  <c r="D31" i="11" l="1"/>
  <c r="E31" i="11"/>
  <c r="F15" i="11"/>
  <c r="E31" i="10"/>
  <c r="D31" i="10"/>
  <c r="C32" i="10"/>
  <c r="C31" i="10"/>
  <c r="B23" i="10"/>
  <c r="E23" i="10" s="1"/>
  <c r="E27" i="10"/>
  <c r="E19" i="10"/>
  <c r="E15" i="10"/>
  <c r="E11" i="10"/>
  <c r="F19" i="10" s="1"/>
  <c r="E7" i="10"/>
  <c r="L6" i="1"/>
  <c r="K6" i="1"/>
  <c r="J6" i="1"/>
  <c r="F31" i="6"/>
  <c r="F31" i="8"/>
  <c r="I6" i="1" s="1"/>
  <c r="D31" i="8"/>
  <c r="H6" i="1" s="1"/>
  <c r="F6" i="1"/>
  <c r="G6" i="1" s="1"/>
  <c r="E31" i="8"/>
  <c r="D6" i="1"/>
  <c r="C31" i="8"/>
  <c r="C32" i="8" s="1"/>
  <c r="B23" i="8"/>
  <c r="E23" i="8"/>
  <c r="E27" i="8"/>
  <c r="E15" i="8"/>
  <c r="E11" i="8"/>
  <c r="F19" i="8" s="1"/>
  <c r="E7" i="8"/>
  <c r="C31" i="7"/>
  <c r="E31" i="7" s="1"/>
  <c r="E27" i="7"/>
  <c r="E23" i="7"/>
  <c r="E19" i="7"/>
  <c r="F23" i="7" s="1"/>
  <c r="E15" i="7"/>
  <c r="F15" i="7" s="1"/>
  <c r="E11" i="7"/>
  <c r="F19" i="7" s="1"/>
  <c r="E7" i="7"/>
  <c r="L5" i="1"/>
  <c r="K5" i="1"/>
  <c r="J5" i="1"/>
  <c r="F5" i="1"/>
  <c r="G5" i="1" s="1"/>
  <c r="F23" i="6"/>
  <c r="E19" i="6"/>
  <c r="F19" i="6"/>
  <c r="F15" i="6"/>
  <c r="H5" i="1"/>
  <c r="D5" i="1"/>
  <c r="E27" i="6"/>
  <c r="E23" i="6"/>
  <c r="E15" i="6"/>
  <c r="E11" i="6"/>
  <c r="E7" i="6"/>
  <c r="F15" i="10" l="1"/>
  <c r="F23" i="10"/>
  <c r="E19" i="8"/>
  <c r="F23" i="8" s="1"/>
  <c r="F15" i="8"/>
  <c r="D31" i="7"/>
  <c r="F31" i="7"/>
  <c r="I5" i="1"/>
  <c r="D17" i="1" l="1"/>
  <c r="E17" i="1"/>
  <c r="E23" i="1" s="1"/>
  <c r="D23" i="1" l="1"/>
  <c r="D6" i="3" l="1"/>
  <c r="E6" i="3"/>
  <c r="C6" i="3"/>
  <c r="D9" i="3"/>
  <c r="E9" i="3"/>
  <c r="C9" i="3"/>
  <c r="D23" i="3"/>
  <c r="E23" i="3"/>
  <c r="C23" i="3"/>
  <c r="D21" i="3"/>
  <c r="E21" i="3"/>
  <c r="C21" i="3"/>
  <c r="E14" i="3"/>
  <c r="E15" i="3" s="1"/>
  <c r="E16" i="3" s="1"/>
  <c r="D14" i="3"/>
  <c r="D15" i="3" s="1"/>
  <c r="D16" i="3" s="1"/>
  <c r="C14" i="3"/>
  <c r="C15" i="3" s="1"/>
  <c r="C16" i="3" s="1"/>
  <c r="D20" i="3"/>
  <c r="E20" i="3"/>
  <c r="C20" i="3"/>
</calcChain>
</file>

<file path=xl/sharedStrings.xml><?xml version="1.0" encoding="utf-8"?>
<sst xmlns="http://schemas.openxmlformats.org/spreadsheetml/2006/main" count="455" uniqueCount="144">
  <si>
    <t>DouYu is also backed by Tencent</t>
  </si>
  <si>
    <t>YY, Huya's parent is a competitor as well?</t>
  </si>
  <si>
    <t>Listed Comparables - Video Streaming. Attempt to be Game focusedd</t>
  </si>
  <si>
    <r>
      <t xml:space="preserve">Bilibili was built as a </t>
    </r>
    <r>
      <rPr>
        <b/>
        <sz val="11"/>
        <color theme="1"/>
        <rFont val="Calibri"/>
        <family val="2"/>
        <scheme val="minor"/>
      </rPr>
      <t>video-sharing website</t>
    </r>
    <r>
      <rPr>
        <sz val="11"/>
        <color theme="1"/>
        <rFont val="Calibri"/>
        <family val="2"/>
        <scheme val="minor"/>
      </rPr>
      <t xml:space="preserve"> themed around animation, comic, and games where users can submit, view, and add commentary subtitles on videos.</t>
    </r>
  </si>
  <si>
    <r>
      <t xml:space="preserve">Huya, backed by Tencent and listed in May 2018, focuses more on </t>
    </r>
    <r>
      <rPr>
        <b/>
        <sz val="11"/>
        <color theme="1"/>
        <rFont val="Calibri"/>
        <family val="2"/>
        <scheme val="minor"/>
      </rPr>
      <t>game live-streaming</t>
    </r>
    <r>
      <rPr>
        <sz val="11"/>
        <color theme="1"/>
        <rFont val="Calibri"/>
        <family val="2"/>
        <scheme val="minor"/>
      </rPr>
      <t>, targeting gamer enthusiasts of China’s young generation.</t>
    </r>
  </si>
  <si>
    <r>
      <t xml:space="preserve">IQiyi, the </t>
    </r>
    <r>
      <rPr>
        <b/>
        <sz val="11"/>
        <color theme="1"/>
        <rFont val="Calibri"/>
        <family val="2"/>
        <scheme val="minor"/>
      </rPr>
      <t>Netflix of China</t>
    </r>
    <r>
      <rPr>
        <sz val="11"/>
        <color theme="1"/>
        <rFont val="Calibri"/>
        <family val="2"/>
        <scheme val="minor"/>
      </rPr>
      <t>, features popular original content, as well as other high quality partner-generated and user-generated content.</t>
    </r>
  </si>
  <si>
    <r>
      <t xml:space="preserve">Inke is a Hong Kong Listed, Chinese </t>
    </r>
    <r>
      <rPr>
        <b/>
        <sz val="11"/>
        <color theme="1"/>
        <rFont val="Calibri"/>
        <family val="2"/>
        <scheme val="minor"/>
      </rPr>
      <t>Livestreaming App</t>
    </r>
  </si>
  <si>
    <t>offers streaming videos, online comics, and games to 92.8 million MAUs and 4.4 million paying users </t>
  </si>
  <si>
    <t>https://www.fool.com/investing/2019/04/25/huyas-biggest-competitor-just-filed-its-us-ipo.aspx</t>
  </si>
  <si>
    <t>https://www.fool.com/investing/2018/10/10/thinking-of-buying-huya-stock-heres-what-you-need.aspx</t>
  </si>
  <si>
    <t>https://www.dragonsocial.net/blog/douyu-vs-huya-the-battle-to-lead-chinas-esports-industry/</t>
  </si>
  <si>
    <t>https://asiaspeakers.org/blog/hidden-world-chinese-livestreaming-app-inke</t>
  </si>
  <si>
    <t>https://www.sec.gov/Archives/edgar/data/1762417/000104746919004144/a2239226zf-1a.htm#dy77301_business</t>
  </si>
  <si>
    <t>***</t>
  </si>
  <si>
    <t>Twitch is the leader in its core U.S. market by a wide margin, but Huya is the second-largest streaming platform in China after Douyu</t>
  </si>
  <si>
    <t>Huya's monthly active users (MAUs) rose 35% annually to 116.6 million last quarter. Douyu's MAUs increased 14% to 153.5 million. Huya's number of paying users rose 73% annually to 4.8 million during the fourth quarter, while Douyu's paid users grew 17% to 4.2 million.</t>
  </si>
  <si>
    <t>Douyu also provided its user growth figures for the first quarter of 2019. Its MAUs rose 26% annually to 159.2 million, and its paying users climbed 67% to 6 million. </t>
  </si>
  <si>
    <t>** Market share data questionable</t>
  </si>
  <si>
    <t>Huya and Douyu both generate the majority of their revenues through sales of virtual items, which viewers buy for their favorite broadcasters. Some 95% of Huya's revenue came from virtual gift sales in the fourth quarter, compared with 86% of Douyu's revenue in the same quarter. Most of the remaining revenue for both companies came from online ads.</t>
  </si>
  <si>
    <t>Both companies boast impressive revenue growth rates. Huya's surged 113% to $678.3 million in 2018, while Douyu's rose 94% to $531.5 million. However, neither company is profitable yet, due to high infrastructure and content acquisition costs like revenue-sharing deals with top broadcasters. Huya posted a net loss of $281.8 million last year, while Douyu posted a net loss of $127.4 million.</t>
  </si>
  <si>
    <t>Huya's and Douyu's impressive growth in MAUs, paid users, and revenues reflects the strength of the live streaming and gaming industries in China. However, both markets are highly vulnerable to government crackdowns.</t>
  </si>
  <si>
    <t>Chinese regulators clamped down on live streaming platforms over the past two years due to censorship issues, and the gaming industry is still recovering from a nine-month freeze on new video game approvals.</t>
  </si>
  <si>
    <t>SuperData Research estimates that more than 660 million people worldwide watched video gaming content in 2017, and both viewership and monetization look primed for continued growth.</t>
  </si>
  <si>
    <t>A report Huya had commissioned by market researcher Frost &amp; Sullivan estimates total revenue for the Chinese gaming market in 2017 at $32.2 billion and a compound annual growth rate of 13.3% through 2022</t>
  </si>
  <si>
    <t>The Frost &amp; Sullivan report estimates the country's total esports streaming revenue for this year to come in at $1.2 billion and expects sales to reach $4.9 billion in 2022. </t>
  </si>
  <si>
    <t>The biggest risk for Huya is that it won't be able to sustain and grow its paying user base in a cost-efficient way.</t>
  </si>
  <si>
    <t xml:space="preserve"> The success of YY and other streaming businesses built around the virtual-gift model is encouraging, but there's not enough of a track record to make it a safe bet over the long term. It's possible that viewers will lose interest in sending virtual gifts to streamers or that broadcasters will be drawn to other platforms. </t>
  </si>
  <si>
    <t>China has put a temporary halt on license approvals for new online games in the country, and it's possible that regulators will create additional roadblocks for gaming companies and streaming platforms.</t>
  </si>
  <si>
    <t> Increased scrutiny on online identification and service membership was likely the key contributor to Huya's MAU growth slowing substantially in the company's two most recent quarters.</t>
  </si>
  <si>
    <t>With the rise of live streaming apps like Yizhibo, Inke, and Huajiao, live streaming videos have become incredibly trendy in China.</t>
  </si>
  <si>
    <t>According to a report released by Tencent in 2018 on the China e-sports industry as a whole, the China e-sports industry is expected to reach 350 million users in by 2020 and generate USD $1.5 billion in revenues. While the audience is predominantly male</t>
  </si>
  <si>
    <t> 69% are between the ages of 21; and 30. </t>
  </si>
  <si>
    <t>For Douyu, apart from covering video game streams and broadcasting international e-sports competitions, their live-streaming videos also include traditional sports events, variety shows, food, and technology.</t>
  </si>
  <si>
    <t>As for Huya, its content is a bit more diversified. For gaming, Huya has approximately 300 featured channels in 4 categories including different kinds of games. Other than this, they also include a variety of other entertainment such as music, sports, beauty, mukbang (people eating lots of food while talking to the camera) etc.</t>
  </si>
  <si>
    <t>Inke</t>
  </si>
  <si>
    <t>About the Company</t>
  </si>
  <si>
    <t>Cash and cash equivalents</t>
  </si>
  <si>
    <t>Total current assets</t>
  </si>
  <si>
    <t>TOTAL ASSETS</t>
  </si>
  <si>
    <t>No Debt!</t>
  </si>
  <si>
    <t>Total current liabilities</t>
  </si>
  <si>
    <t>RMB</t>
  </si>
  <si>
    <t>Net revenues</t>
  </si>
  <si>
    <t>Cost of revenues</t>
  </si>
  <si>
    <t>Gross profit</t>
  </si>
  <si>
    <t>Gross Margins</t>
  </si>
  <si>
    <t>Loss from operations</t>
  </si>
  <si>
    <t>Year</t>
  </si>
  <si>
    <t>Weighted average shares</t>
  </si>
  <si>
    <t>Net loss</t>
  </si>
  <si>
    <t>Net Income Margin</t>
  </si>
  <si>
    <t>Depreciation</t>
  </si>
  <si>
    <t>Amortization</t>
  </si>
  <si>
    <t>EBITDA</t>
  </si>
  <si>
    <t>EBITDA margin</t>
  </si>
  <si>
    <t>Current Ratio</t>
  </si>
  <si>
    <t>&gt; Driven by Accounts Payables.</t>
  </si>
  <si>
    <t>Cash as a % of Total Assets</t>
  </si>
  <si>
    <t>YY</t>
  </si>
  <si>
    <t>Bilibili</t>
  </si>
  <si>
    <t>Iqiyi</t>
  </si>
  <si>
    <t>*</t>
  </si>
  <si>
    <t>Company Name</t>
  </si>
  <si>
    <t>Exchange / Ticker</t>
  </si>
  <si>
    <t>Currency</t>
  </si>
  <si>
    <t>Units</t>
  </si>
  <si>
    <t xml:space="preserve">Market Cap </t>
  </si>
  <si>
    <t>Adjusted Market Cap</t>
  </si>
  <si>
    <t>Price to Earnings Ratio</t>
  </si>
  <si>
    <t>EV/EBITDA</t>
  </si>
  <si>
    <t>12mths trailing Revenue</t>
  </si>
  <si>
    <t>12mth trailing EBITDA</t>
  </si>
  <si>
    <t>Revenue CAGR</t>
  </si>
  <si>
    <t>EBIT Margin</t>
  </si>
  <si>
    <t>List of Peers</t>
  </si>
  <si>
    <t>Date : 18th of July 2019</t>
  </si>
  <si>
    <t>Percentile</t>
  </si>
  <si>
    <t>Min</t>
  </si>
  <si>
    <t>Median</t>
  </si>
  <si>
    <t>Max</t>
  </si>
  <si>
    <t>EV/EBITDA selected</t>
  </si>
  <si>
    <t>Implied Enterprise Value</t>
  </si>
  <si>
    <t>Add: Net Cash</t>
  </si>
  <si>
    <t>Less: Total Debt</t>
  </si>
  <si>
    <t>Implied Equity Value</t>
  </si>
  <si>
    <t>Total Shares Outstanding</t>
  </si>
  <si>
    <t>Fair Value Per Share</t>
  </si>
  <si>
    <t>Current Share Price</t>
  </si>
  <si>
    <t>NYSE: HUYA</t>
  </si>
  <si>
    <t>HKG: 3700</t>
  </si>
  <si>
    <t>Cash</t>
  </si>
  <si>
    <t>Debt</t>
  </si>
  <si>
    <t>Share Count ^</t>
  </si>
  <si>
    <t>Diluted Count</t>
  </si>
  <si>
    <t>Revenue</t>
  </si>
  <si>
    <t>Operating Profit</t>
  </si>
  <si>
    <t>12mth trailing Operating Profit</t>
  </si>
  <si>
    <t>D&amp;A</t>
  </si>
  <si>
    <t>12mth trailing D&amp;A</t>
  </si>
  <si>
    <t>12mths trailing Profit</t>
  </si>
  <si>
    <t>Yahoo Finance</t>
  </si>
  <si>
    <t>Enterprise Value</t>
  </si>
  <si>
    <t>2016 Revenue</t>
  </si>
  <si>
    <t>2017 Revenue</t>
  </si>
  <si>
    <t>2018 Revenue</t>
  </si>
  <si>
    <t>Gross Profit</t>
  </si>
  <si>
    <t>Huya Inc</t>
  </si>
  <si>
    <t>in thousands</t>
  </si>
  <si>
    <t>Each ADS represents one Class A ordinary share</t>
  </si>
  <si>
    <t>Year ended 31st Dec 2018</t>
  </si>
  <si>
    <t>3mths ended 31st Mar 2019</t>
  </si>
  <si>
    <t>3mths ended 31st Mar 2018</t>
  </si>
  <si>
    <t xml:space="preserve">Share Price </t>
  </si>
  <si>
    <t>Market Cap</t>
  </si>
  <si>
    <t>USD</t>
  </si>
  <si>
    <t>12mth trailing Gross Profit</t>
  </si>
  <si>
    <t>EBIT Margins</t>
  </si>
  <si>
    <t>Huya (mkt cap in USD)</t>
  </si>
  <si>
    <t>HKD</t>
  </si>
  <si>
    <t>* take note of units</t>
  </si>
  <si>
    <t>currency conversion here</t>
  </si>
  <si>
    <t>^ Note yahoo finance has their EBITDA as negative</t>
  </si>
  <si>
    <t>Inke (mkt cap in HKD)</t>
  </si>
  <si>
    <t>^ larger than operating profit because of FV gain of financial instruments with prefered rights</t>
  </si>
  <si>
    <t>NASDAQ: YY</t>
  </si>
  <si>
    <t>* All amounts in thousands, except share, ADS and per ADS data</t>
  </si>
  <si>
    <t>ADS used here</t>
  </si>
  <si>
    <t>Net Income</t>
  </si>
  <si>
    <t>YY (mkt cap in USD)</t>
  </si>
  <si>
    <t>NASDAQ: BILI</t>
  </si>
  <si>
    <t>Bilibili (mkt cap in USD)</t>
  </si>
  <si>
    <t>NASDAQ: IQ</t>
  </si>
  <si>
    <t>Iqiyi (mkt cap in USD)</t>
  </si>
  <si>
    <t>^ Note yahoo finance has their EBITDA as N/A</t>
  </si>
  <si>
    <t>Switch</t>
  </si>
  <si>
    <t>Price to Sales</t>
  </si>
  <si>
    <t>NASDAQ: DOYU</t>
  </si>
  <si>
    <t>DouYu (mkt cap in USD)</t>
  </si>
  <si>
    <t>Price to Sales Range</t>
  </si>
  <si>
    <t>Chosen</t>
  </si>
  <si>
    <t>Ordinary Shares</t>
  </si>
  <si>
    <t>ADS</t>
  </si>
  <si>
    <t>DouYu's Revenue (RMB)</t>
  </si>
  <si>
    <r>
      <t xml:space="preserve">1) Unfortunately, </t>
    </r>
    <r>
      <rPr>
        <b/>
        <sz val="12"/>
        <color theme="1"/>
        <rFont val="Garamond"/>
        <family val="1"/>
      </rPr>
      <t xml:space="preserve">EV/EBITDA Cannot Be Uused </t>
    </r>
    <r>
      <rPr>
        <sz val="12"/>
        <color theme="1"/>
        <rFont val="Garamond"/>
        <family val="1"/>
      </rPr>
      <t xml:space="preserve">due to DouYu having negative EBITDA. It wont be that useful even if it was positive as many comps have negative earnings as well.
2) Thus we shall use </t>
    </r>
    <r>
      <rPr>
        <b/>
        <sz val="12"/>
        <color theme="1"/>
        <rFont val="Garamond"/>
        <family val="1"/>
      </rPr>
      <t>Price to Sales</t>
    </r>
    <r>
      <rPr>
        <sz val="12"/>
        <color theme="1"/>
        <rFont val="Garamond"/>
        <family val="1"/>
      </rPr>
      <t xml:space="preserve">, commonly used for comparing </t>
    </r>
    <r>
      <rPr>
        <b/>
        <sz val="12"/>
        <color theme="1"/>
        <rFont val="Garamond"/>
        <family val="1"/>
      </rPr>
      <t xml:space="preserve">Technology Focused </t>
    </r>
    <r>
      <rPr>
        <sz val="12"/>
        <color theme="1"/>
        <rFont val="Garamond"/>
        <family val="1"/>
      </rPr>
      <t xml:space="preserve">companies such as Snapchat.
3) It is good to note that DouYu's initial price range was $11.5 to $14. This would reflect a Price to Sales range of 5.75 and 7.
4) One thing to note is that </t>
    </r>
    <r>
      <rPr>
        <b/>
        <sz val="12"/>
        <color theme="1"/>
        <rFont val="Garamond"/>
        <family val="1"/>
      </rPr>
      <t>Huya</t>
    </r>
    <r>
      <rPr>
        <sz val="12"/>
        <color theme="1"/>
        <rFont val="Garamond"/>
        <family val="1"/>
      </rPr>
      <t xml:space="preserve">, DouYu's </t>
    </r>
    <r>
      <rPr>
        <b/>
        <sz val="12"/>
        <color theme="1"/>
        <rFont val="Garamond"/>
        <family val="1"/>
      </rPr>
      <t>biggest competitor</t>
    </r>
    <r>
      <rPr>
        <sz val="12"/>
        <color theme="1"/>
        <rFont val="Garamond"/>
        <family val="1"/>
      </rPr>
      <t xml:space="preserve">, has a </t>
    </r>
    <r>
      <rPr>
        <b/>
        <sz val="12"/>
        <color theme="1"/>
        <rFont val="Garamond"/>
        <family val="1"/>
      </rPr>
      <t xml:space="preserve">larger market capitalization </t>
    </r>
    <r>
      <rPr>
        <sz val="12"/>
        <color theme="1"/>
        <rFont val="Garamond"/>
        <family val="1"/>
      </rPr>
      <t xml:space="preserve">thatn DouYu, given its pricing at at a higher Price to Sales ratio. This is no surprise, given that both have rather similar revenues, jsut that Huya is slightly more profitable at the moment ( in terms of </t>
    </r>
    <r>
      <rPr>
        <b/>
        <sz val="12"/>
        <color theme="1"/>
        <rFont val="Garamond"/>
        <family val="1"/>
      </rPr>
      <t xml:space="preserve">Gross Margins </t>
    </r>
    <r>
      <rPr>
        <sz val="12"/>
        <color theme="1"/>
        <rFont val="Garamond"/>
        <family val="1"/>
      </rPr>
      <t xml:space="preserve">and </t>
    </r>
    <r>
      <rPr>
        <b/>
        <sz val="12"/>
        <color theme="1"/>
        <rFont val="Garamond"/>
        <family val="1"/>
      </rPr>
      <t>EBIT margins.</t>
    </r>
    <r>
      <rPr>
        <sz val="12"/>
        <color theme="1"/>
        <rFont val="Garamond"/>
        <family val="1"/>
      </rPr>
      <t>)
5) This will result in two things, either DouYu looks for profitability and Remain at its current valuation (to match Huya) or DouYu's valuation gets compressed and heads to the $8 range.
6) Based on our Chosen Price to Sales range of 6. We expect that stock to trade around the $9-$11 range, until significant progress occurs.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</si>
</sst>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_-* #,##0_-;\-* #,##0_-;_-* &quot;-&quot;??_-;_-@_-"/>
    <numFmt numFmtId="166" formatCode="_-* #,##0.000000000_-;\-* #,##0.000000000_-;_-* &quot;-&quot;??_-;_-@_-"/>
  </numFmts>
  <fonts count="12" x14ac:knownFonts="1">
    <font>
      <sz val="11"/>
      <color theme="1"/>
      <name val="Calibri"/>
      <family val="2"/>
      <scheme val="minor"/>
    </font>
    <font>
      <b/>
      <sz val="11"/>
      <color theme="1"/>
      <name val="Calibri"/>
      <family val="2"/>
      <scheme val="minor"/>
    </font>
    <font>
      <u/>
      <sz val="11"/>
      <color theme="10"/>
      <name val="Calibri"/>
      <family val="2"/>
      <scheme val="minor"/>
    </font>
    <font>
      <sz val="11"/>
      <name val="Calibri"/>
      <family val="2"/>
      <scheme val="minor"/>
    </font>
    <font>
      <sz val="11"/>
      <color theme="1"/>
      <name val="Calibri"/>
      <family val="2"/>
      <scheme val="minor"/>
    </font>
    <font>
      <b/>
      <sz val="9"/>
      <color theme="0"/>
      <name val="Century Gothic"/>
      <family val="2"/>
    </font>
    <font>
      <b/>
      <sz val="9"/>
      <color theme="0"/>
      <name val="Century Gothic"/>
      <family val="1"/>
    </font>
    <font>
      <b/>
      <sz val="9"/>
      <color rgb="FFFFFF00"/>
      <name val="Century Gothic"/>
      <family val="1"/>
    </font>
    <font>
      <u/>
      <sz val="11"/>
      <color theme="1"/>
      <name val="Calibri"/>
      <family val="2"/>
      <scheme val="minor"/>
    </font>
    <font>
      <sz val="14"/>
      <color theme="1"/>
      <name val="Garamond"/>
      <family val="1"/>
    </font>
    <font>
      <sz val="12"/>
      <color theme="1"/>
      <name val="Garamond"/>
      <family val="1"/>
    </font>
    <font>
      <b/>
      <sz val="12"/>
      <color theme="1"/>
      <name val="Garamond"/>
      <family val="1"/>
    </font>
  </fonts>
  <fills count="10">
    <fill>
      <patternFill patternType="none"/>
    </fill>
    <fill>
      <patternFill patternType="gray125"/>
    </fill>
    <fill>
      <patternFill patternType="solid">
        <fgColor rgb="FF002F7F"/>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0"/>
        <bgColor indexed="64"/>
      </patternFill>
    </fill>
    <fill>
      <patternFill patternType="solid">
        <fgColor theme="2"/>
        <bgColor indexed="64"/>
      </patternFill>
    </fill>
    <fill>
      <patternFill patternType="solid">
        <fgColor theme="5"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applyNumberFormat="0" applyFill="0" applyBorder="0" applyAlignment="0" applyProtection="0"/>
    <xf numFmtId="43" fontId="4" fillId="0" borderId="0" applyFont="0" applyFill="0" applyBorder="0" applyAlignment="0" applyProtection="0"/>
  </cellStyleXfs>
  <cellXfs count="73">
    <xf numFmtId="0" fontId="0" fillId="0" borderId="0" xfId="0"/>
    <xf numFmtId="0" fontId="2" fillId="0" borderId="0" xfId="1"/>
    <xf numFmtId="0" fontId="0" fillId="0" borderId="0" xfId="0" applyFont="1"/>
    <xf numFmtId="0" fontId="3" fillId="0" borderId="0" xfId="1" applyFont="1"/>
    <xf numFmtId="3" fontId="0" fillId="0" borderId="0" xfId="0" applyNumberFormat="1"/>
    <xf numFmtId="10" fontId="0" fillId="0" borderId="0" xfId="0" applyNumberFormat="1"/>
    <xf numFmtId="2" fontId="0" fillId="0" borderId="0" xfId="0" applyNumberFormat="1"/>
    <xf numFmtId="0" fontId="0" fillId="0" borderId="0" xfId="0" applyAlignment="1">
      <alignment horizontal="right"/>
    </xf>
    <xf numFmtId="0" fontId="1" fillId="0" borderId="0" xfId="0" applyFont="1"/>
    <xf numFmtId="0" fontId="1" fillId="0" borderId="1" xfId="0" applyFont="1" applyBorder="1"/>
    <xf numFmtId="3" fontId="0" fillId="0" borderId="1" xfId="0" applyNumberFormat="1" applyBorder="1"/>
    <xf numFmtId="0" fontId="0" fillId="0" borderId="1" xfId="0" applyBorder="1"/>
    <xf numFmtId="10" fontId="0" fillId="0" borderId="1" xfId="0" applyNumberFormat="1" applyBorder="1"/>
    <xf numFmtId="2" fontId="0" fillId="0" borderId="1" xfId="0" applyNumberFormat="1" applyBorder="1"/>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2" fontId="6" fillId="2" borderId="1" xfId="0" applyNumberFormat="1" applyFont="1" applyFill="1" applyBorder="1" applyAlignment="1">
      <alignment horizontal="center" vertical="center" wrapText="1"/>
    </xf>
    <xf numFmtId="164" fontId="6" fillId="2" borderId="1" xfId="0" applyNumberFormat="1" applyFont="1" applyFill="1" applyBorder="1" applyAlignment="1">
      <alignment horizontal="center" vertical="center" wrapText="1"/>
    </xf>
    <xf numFmtId="2" fontId="1" fillId="0" borderId="1" xfId="0" applyNumberFormat="1" applyFont="1" applyBorder="1"/>
    <xf numFmtId="165" fontId="0" fillId="0" borderId="1" xfId="2" applyNumberFormat="1" applyFont="1" applyBorder="1"/>
    <xf numFmtId="165" fontId="0" fillId="0" borderId="1" xfId="0" applyNumberFormat="1" applyBorder="1"/>
    <xf numFmtId="0" fontId="1" fillId="3" borderId="1" xfId="0" applyFont="1" applyFill="1" applyBorder="1"/>
    <xf numFmtId="43" fontId="1" fillId="3" borderId="1" xfId="0" applyNumberFormat="1" applyFont="1" applyFill="1" applyBorder="1"/>
    <xf numFmtId="0" fontId="0" fillId="4" borderId="1" xfId="0" applyFill="1" applyBorder="1"/>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0" xfId="0" applyFont="1" applyFill="1" applyAlignment="1">
      <alignment horizontal="center" vertical="center"/>
    </xf>
    <xf numFmtId="165" fontId="0" fillId="0" borderId="0" xfId="2" applyNumberFormat="1" applyFont="1"/>
    <xf numFmtId="43" fontId="0" fillId="0" borderId="0" xfId="2" applyFont="1"/>
    <xf numFmtId="0" fontId="6" fillId="0" borderId="0" xfId="0" applyFont="1" applyAlignment="1">
      <alignment horizontal="center" vertical="center"/>
    </xf>
    <xf numFmtId="166" fontId="0" fillId="0" borderId="0" xfId="0" applyNumberFormat="1"/>
    <xf numFmtId="0" fontId="8" fillId="0" borderId="0" xfId="0" applyFont="1" applyAlignment="1">
      <alignment horizontal="center" vertical="center"/>
    </xf>
    <xf numFmtId="165" fontId="0" fillId="0" borderId="0" xfId="0" applyNumberFormat="1"/>
    <xf numFmtId="1" fontId="0" fillId="0" borderId="0" xfId="0" applyNumberFormat="1"/>
    <xf numFmtId="9" fontId="0" fillId="0" borderId="0" xfId="0" applyNumberFormat="1"/>
    <xf numFmtId="4" fontId="0" fillId="0" borderId="0" xfId="0" applyNumberFormat="1"/>
    <xf numFmtId="0" fontId="0" fillId="0" borderId="0" xfId="0" applyAlignment="1">
      <alignment horizontal="center" vertical="center"/>
    </xf>
    <xf numFmtId="0" fontId="0" fillId="6" borderId="0" xfId="0" applyFill="1"/>
    <xf numFmtId="165" fontId="0" fillId="0" borderId="0" xfId="0" applyNumberFormat="1" applyFill="1"/>
    <xf numFmtId="1" fontId="1" fillId="0" borderId="0" xfId="0" applyNumberFormat="1" applyFont="1" applyAlignment="1">
      <alignment horizontal="right"/>
    </xf>
    <xf numFmtId="3" fontId="0" fillId="7" borderId="0" xfId="0" applyNumberFormat="1" applyFill="1"/>
    <xf numFmtId="43" fontId="0" fillId="0" borderId="0" xfId="0" applyNumberFormat="1"/>
    <xf numFmtId="3" fontId="0" fillId="8" borderId="0" xfId="0" applyNumberFormat="1" applyFill="1"/>
    <xf numFmtId="0" fontId="1" fillId="5" borderId="1" xfId="0" applyFont="1" applyFill="1" applyBorder="1"/>
    <xf numFmtId="3" fontId="0" fillId="6" borderId="0" xfId="0" applyNumberFormat="1" applyFill="1"/>
    <xf numFmtId="3" fontId="0" fillId="0" borderId="0" xfId="0" applyNumberFormat="1" applyFill="1"/>
    <xf numFmtId="0" fontId="0" fillId="0" borderId="0" xfId="0" applyFill="1"/>
    <xf numFmtId="43" fontId="0" fillId="0" borderId="0" xfId="2" applyNumberFormat="1" applyFont="1"/>
    <xf numFmtId="0" fontId="0" fillId="0" borderId="0" xfId="0" applyBorder="1"/>
    <xf numFmtId="0" fontId="9" fillId="0" borderId="0" xfId="0" applyFont="1" applyBorder="1" applyAlignment="1">
      <alignment vertical="center"/>
    </xf>
    <xf numFmtId="9" fontId="0" fillId="0" borderId="1" xfId="0" applyNumberFormat="1" applyBorder="1"/>
    <xf numFmtId="2" fontId="0" fillId="0" borderId="1" xfId="0" applyNumberFormat="1" applyBorder="1" applyAlignment="1">
      <alignment horizontal="right"/>
    </xf>
    <xf numFmtId="1" fontId="0" fillId="0" borderId="1" xfId="0" applyNumberFormat="1" applyBorder="1" applyAlignment="1">
      <alignment horizontal="right"/>
    </xf>
    <xf numFmtId="1" fontId="0" fillId="6" borderId="1" xfId="0" applyNumberFormat="1" applyFill="1" applyBorder="1" applyAlignment="1">
      <alignment horizontal="right"/>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0" fillId="6" borderId="1" xfId="0" applyFill="1" applyBorder="1"/>
    <xf numFmtId="43" fontId="0" fillId="0" borderId="1" xfId="2" applyNumberFormat="1" applyFont="1" applyBorder="1"/>
    <xf numFmtId="0" fontId="0" fillId="0" borderId="1" xfId="0" applyFill="1" applyBorder="1"/>
    <xf numFmtId="10" fontId="0" fillId="9" borderId="1" xfId="0" applyNumberFormat="1" applyFill="1" applyBorder="1"/>
    <xf numFmtId="9" fontId="0" fillId="9" borderId="1" xfId="0" applyNumberFormat="1" applyFill="1" applyBorder="1"/>
    <xf numFmtId="2" fontId="0" fillId="0" borderId="1" xfId="0" applyNumberFormat="1" applyFont="1" applyBorder="1"/>
    <xf numFmtId="43" fontId="0" fillId="3" borderId="1" xfId="0" applyNumberFormat="1" applyFont="1" applyFill="1" applyBorder="1"/>
    <xf numFmtId="0" fontId="1" fillId="4" borderId="1" xfId="0" applyFont="1" applyFill="1" applyBorder="1"/>
  </cellXfs>
  <cellStyles count="3">
    <cellStyle name="Comma" xfId="2" builtinId="3"/>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3" Type="http://schemas.openxmlformats.org/officeDocument/2006/relationships/hyperlink" Target="https://www.dragonsocial.net/blog/douyu-vs-huya-the-battle-to-lead-chinas-esports-industry/" TargetMode="External"/><Relationship Id="rId2" Type="http://schemas.openxmlformats.org/officeDocument/2006/relationships/hyperlink" Target="https://www.fool.com/investing/2018/10/10/thinking-of-buying-huya-stock-heres-what-you-need.aspx" TargetMode="External"/><Relationship Id="rId1" Type="http://schemas.openxmlformats.org/officeDocument/2006/relationships/hyperlink" Target="https://www.fool.com/investing/2019/04/25/huyas-biggest-competitor-just-filed-its-us-ipo.aspx" TargetMode="External"/><Relationship Id="rId5" Type="http://schemas.openxmlformats.org/officeDocument/2006/relationships/hyperlink" Target="https://www.sec.gov/Archives/edgar/data/1762417/000104746919004144/a2239226zf-1a.htm" TargetMode="External"/><Relationship Id="rId4" Type="http://schemas.openxmlformats.org/officeDocument/2006/relationships/hyperlink" Target="https://asiaspeakers.org/blog/hidden-world-chinese-livestreaming-app-inke"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Q27"/>
  <sheetViews>
    <sheetView tabSelected="1" zoomScaleNormal="100" workbookViewId="0">
      <selection activeCell="B27" sqref="B27"/>
    </sheetView>
  </sheetViews>
  <sheetFormatPr defaultRowHeight="14.4" x14ac:dyDescent="0.3"/>
  <cols>
    <col min="2" max="2" width="21.77734375" bestFit="1" customWidth="1"/>
    <col min="3" max="3" width="15.6640625" bestFit="1" customWidth="1"/>
    <col min="4" max="6" width="14.77734375" bestFit="1" customWidth="1"/>
    <col min="7" max="7" width="18.33203125" bestFit="1" customWidth="1"/>
    <col min="8" max="8" width="18.88671875" bestFit="1" customWidth="1"/>
    <col min="9" max="9" width="12.109375" customWidth="1"/>
    <col min="10" max="10" width="15.6640625" customWidth="1"/>
    <col min="11" max="11" width="14.88671875" customWidth="1"/>
    <col min="12" max="12" width="10" bestFit="1" customWidth="1"/>
    <col min="13" max="13" width="11.5546875" bestFit="1" customWidth="1"/>
    <col min="14" max="14" width="6" bestFit="1" customWidth="1"/>
    <col min="15" max="15" width="3.6640625" customWidth="1"/>
  </cols>
  <sheetData>
    <row r="2" spans="2:17" x14ac:dyDescent="0.3">
      <c r="B2" t="s">
        <v>75</v>
      </c>
    </row>
    <row r="3" spans="2:17" x14ac:dyDescent="0.3">
      <c r="B3" s="14" t="s">
        <v>74</v>
      </c>
    </row>
    <row r="4" spans="2:17" x14ac:dyDescent="0.3">
      <c r="B4" s="14" t="s">
        <v>62</v>
      </c>
      <c r="C4" s="15" t="s">
        <v>63</v>
      </c>
      <c r="D4" s="15" t="s">
        <v>64</v>
      </c>
      <c r="E4" s="15" t="s">
        <v>65</v>
      </c>
      <c r="F4" s="15" t="s">
        <v>66</v>
      </c>
      <c r="G4" s="16" t="s">
        <v>67</v>
      </c>
      <c r="H4" s="15" t="s">
        <v>68</v>
      </c>
      <c r="I4" s="15" t="s">
        <v>69</v>
      </c>
      <c r="J4" s="15" t="s">
        <v>72</v>
      </c>
      <c r="K4" s="15" t="s">
        <v>45</v>
      </c>
      <c r="L4" s="15" t="s">
        <v>73</v>
      </c>
      <c r="M4" s="15" t="s">
        <v>135</v>
      </c>
      <c r="N4" s="15" t="s">
        <v>134</v>
      </c>
    </row>
    <row r="5" spans="2:17" x14ac:dyDescent="0.3">
      <c r="B5" s="9" t="s">
        <v>117</v>
      </c>
      <c r="C5" s="11" t="s">
        <v>88</v>
      </c>
      <c r="D5" s="11" t="str">
        <f>Huya!D4</f>
        <v>RMB</v>
      </c>
      <c r="E5" s="11" t="s">
        <v>107</v>
      </c>
      <c r="F5" s="21">
        <f>Huya!C31</f>
        <v>5356634809.5</v>
      </c>
      <c r="G5" s="22">
        <f>F5</f>
        <v>5356634809.5</v>
      </c>
      <c r="H5" s="53" t="str">
        <f>Huya!D31</f>
        <v>#N/A</v>
      </c>
      <c r="I5" s="13">
        <f>Huya!F31</f>
        <v>632.08907082216683</v>
      </c>
      <c r="J5" s="52">
        <f>Huya!E7</f>
        <v>1.4380536684041521</v>
      </c>
      <c r="K5" s="12">
        <f>Huya!F15</f>
        <v>0.13388644545117012</v>
      </c>
      <c r="L5" s="12">
        <f>Huya!F19</f>
        <v>4.9032017105531565E-3</v>
      </c>
      <c r="M5" s="66">
        <f>Huya!C32/(Huya!E11*1000)</f>
        <v>6.5508526221828927</v>
      </c>
      <c r="N5" s="11"/>
      <c r="P5" t="s">
        <v>133</v>
      </c>
    </row>
    <row r="6" spans="2:17" x14ac:dyDescent="0.3">
      <c r="B6" s="9" t="s">
        <v>122</v>
      </c>
      <c r="C6" s="11" t="s">
        <v>89</v>
      </c>
      <c r="D6" s="11" t="str">
        <f>Huya!D4</f>
        <v>RMB</v>
      </c>
      <c r="E6" s="11" t="s">
        <v>107</v>
      </c>
      <c r="F6" s="21">
        <f>Inke!C32</f>
        <v>2524961815.1999998</v>
      </c>
      <c r="G6" s="22">
        <f>F6*0.13</f>
        <v>328245035.97600001</v>
      </c>
      <c r="H6" s="13">
        <f>Inke!D31</f>
        <v>2.2280123316391358</v>
      </c>
      <c r="I6" s="13">
        <f>Inke!F31</f>
        <v>3.7923833372846492</v>
      </c>
      <c r="J6" s="69">
        <f>Inke!E7</f>
        <v>-5.5635935810321786E-2</v>
      </c>
      <c r="K6" s="12">
        <f>Inke!F15</f>
        <v>0.33813743121846823</v>
      </c>
      <c r="L6" s="12">
        <f>Inke!F19</f>
        <v>0.16420482552809892</v>
      </c>
      <c r="M6" s="66">
        <f>Inke!C32/(Inke!E11*1000)</f>
        <v>0.65403470793217511</v>
      </c>
      <c r="N6" s="11"/>
      <c r="P6" t="s">
        <v>133</v>
      </c>
    </row>
    <row r="7" spans="2:17" x14ac:dyDescent="0.3">
      <c r="B7" s="9" t="s">
        <v>128</v>
      </c>
      <c r="C7" s="11" t="s">
        <v>124</v>
      </c>
      <c r="D7" s="11" t="str">
        <f>YY!D4</f>
        <v>RMB</v>
      </c>
      <c r="E7" s="11" t="s">
        <v>107</v>
      </c>
      <c r="F7" s="21">
        <f>YY!C32</f>
        <v>31449823666</v>
      </c>
      <c r="G7" s="21">
        <f>YY!C31</f>
        <v>4717473549.8999996</v>
      </c>
      <c r="H7" s="13">
        <f>YY!D31</f>
        <v>7.3102437581325468</v>
      </c>
      <c r="I7" s="13">
        <f>YY!F31</f>
        <v>8.3209701270309289</v>
      </c>
      <c r="J7" s="52">
        <f>YY!E7</f>
        <v>0.38641935236111036</v>
      </c>
      <c r="K7" s="12">
        <f>YY!F15</f>
        <v>0.32515158821430906</v>
      </c>
      <c r="L7" s="12">
        <f>YY!F19</f>
        <v>0.14552191040178178</v>
      </c>
      <c r="M7" s="66">
        <f>YY!C32/(YY!E11*1000)</f>
        <v>1.8184123619198611</v>
      </c>
      <c r="N7" s="11"/>
    </row>
    <row r="8" spans="2:17" x14ac:dyDescent="0.3">
      <c r="B8" s="9" t="s">
        <v>130</v>
      </c>
      <c r="C8" s="11" t="s">
        <v>129</v>
      </c>
      <c r="D8" s="11" t="s">
        <v>41</v>
      </c>
      <c r="E8" s="11" t="s">
        <v>107</v>
      </c>
      <c r="F8" s="21">
        <f>Bilibili!C31</f>
        <v>4880324373.4499998</v>
      </c>
      <c r="G8" s="22">
        <f>F8</f>
        <v>4880324373.4499998</v>
      </c>
      <c r="H8" s="53" t="str">
        <f>Bilibili!D31</f>
        <v>#N/A</v>
      </c>
      <c r="I8" s="54" t="str">
        <f>Bilibili!F31</f>
        <v>#N/A</v>
      </c>
      <c r="J8" s="52">
        <f>Bilibili!E7</f>
        <v>2.194837080175617</v>
      </c>
      <c r="K8" s="12">
        <f>Bilibili!F15</f>
        <v>0.13442451391001697</v>
      </c>
      <c r="L8" s="68">
        <f>Bilibili!F19</f>
        <v>-0.2074537753294364</v>
      </c>
      <c r="M8" s="66">
        <f>Bilibili!C32/(Bilibili!E11*1000)</f>
        <v>7.0203877980679392</v>
      </c>
      <c r="N8" s="11"/>
    </row>
    <row r="9" spans="2:17" x14ac:dyDescent="0.3">
      <c r="B9" s="9" t="s">
        <v>132</v>
      </c>
      <c r="C9" s="11" t="s">
        <v>131</v>
      </c>
      <c r="D9" s="11" t="str">
        <f>iQiyi!D4</f>
        <v>RMB</v>
      </c>
      <c r="E9" s="11" t="s">
        <v>107</v>
      </c>
      <c r="F9" s="21">
        <f>iQiyi!C31</f>
        <v>13586215207.871429</v>
      </c>
      <c r="G9" s="21">
        <f>F9</f>
        <v>13586215207.871429</v>
      </c>
      <c r="H9" s="53" t="str">
        <f>iQiyi!D31</f>
        <v>#N/A</v>
      </c>
      <c r="I9" s="55" t="str">
        <f>IF(N9=0,"#N/A",iQiyi!F31)</f>
        <v>#N/A</v>
      </c>
      <c r="J9" s="52">
        <f>iQiyi!E7</f>
        <v>0.61187198256679676</v>
      </c>
      <c r="K9" s="68">
        <f>iQiyi!F15</f>
        <v>-0.11464858516412052</v>
      </c>
      <c r="L9" s="68">
        <f>iQiyi!F19</f>
        <v>-0.34203410630981862</v>
      </c>
      <c r="M9" s="66">
        <f>iQiyi!C32/(iQiyi!E11*1000)</f>
        <v>3.34202901632022</v>
      </c>
      <c r="N9" s="65">
        <v>0</v>
      </c>
      <c r="P9" t="s">
        <v>133</v>
      </c>
      <c r="Q9" s="50"/>
    </row>
    <row r="10" spans="2:17" x14ac:dyDescent="0.3">
      <c r="B10" s="9" t="s">
        <v>137</v>
      </c>
      <c r="C10" s="11" t="s">
        <v>136</v>
      </c>
      <c r="D10" s="11" t="s">
        <v>41</v>
      </c>
      <c r="E10" s="11" t="s">
        <v>107</v>
      </c>
      <c r="F10" s="21">
        <f>F24*DouYu!C19</f>
        <v>3222445475</v>
      </c>
      <c r="G10" s="21">
        <f>F10</f>
        <v>3222445475</v>
      </c>
      <c r="H10" s="53" t="e">
        <v>#N/A</v>
      </c>
      <c r="I10" s="53" t="e">
        <v>#N/A</v>
      </c>
      <c r="J10" s="52">
        <f>DouYu!E4</f>
        <v>1.1671597801117444</v>
      </c>
      <c r="K10" s="68">
        <f>DouYu!F12</f>
        <v>-0.26716551262005805</v>
      </c>
      <c r="L10" s="68">
        <f>DouYu!F16</f>
        <v>-0.16792494974313155</v>
      </c>
      <c r="M10" s="66">
        <f>G10/(DouYu!D4*0.15*1000000)</f>
        <v>5.8786585577203736</v>
      </c>
      <c r="N10" s="67"/>
      <c r="P10" s="50"/>
      <c r="Q10" s="50"/>
    </row>
    <row r="11" spans="2:17" ht="14.4" customHeight="1" thickBot="1" x14ac:dyDescent="0.35">
      <c r="H11" s="51"/>
      <c r="I11" s="51"/>
      <c r="J11" s="51"/>
      <c r="K11" s="51"/>
      <c r="L11" s="51"/>
      <c r="M11" s="51"/>
      <c r="N11" s="51"/>
      <c r="O11" s="51"/>
      <c r="P11" s="50"/>
      <c r="Q11" s="50"/>
    </row>
    <row r="12" spans="2:17" ht="14.4" customHeight="1" x14ac:dyDescent="0.3">
      <c r="B12" s="15" t="s">
        <v>76</v>
      </c>
      <c r="C12" s="17" t="s">
        <v>77</v>
      </c>
      <c r="D12" s="18" t="s">
        <v>78</v>
      </c>
      <c r="E12" s="19" t="s">
        <v>79</v>
      </c>
      <c r="F12" s="19" t="s">
        <v>139</v>
      </c>
      <c r="G12" s="56" t="s">
        <v>143</v>
      </c>
      <c r="H12" s="57"/>
      <c r="I12" s="57"/>
      <c r="J12" s="57"/>
      <c r="K12" s="57"/>
      <c r="L12" s="57"/>
      <c r="M12" s="57"/>
      <c r="N12" s="58"/>
      <c r="O12" s="51"/>
      <c r="P12" s="50"/>
      <c r="Q12" s="50"/>
    </row>
    <row r="13" spans="2:17" ht="14.4" customHeight="1" x14ac:dyDescent="0.3">
      <c r="B13" s="11" t="s">
        <v>138</v>
      </c>
      <c r="C13" s="13">
        <f>MIN(M5:M10)</f>
        <v>0.65403470793217511</v>
      </c>
      <c r="D13" s="20">
        <f>MEDIAN(M5:M10)</f>
        <v>4.6103437870202963</v>
      </c>
      <c r="E13" s="13">
        <f>MAX(M5:M10)</f>
        <v>7.0203877980679392</v>
      </c>
      <c r="F13" s="20">
        <v>5.5</v>
      </c>
      <c r="G13" s="59"/>
      <c r="H13" s="60"/>
      <c r="I13" s="60"/>
      <c r="J13" s="60"/>
      <c r="K13" s="60"/>
      <c r="L13" s="60"/>
      <c r="M13" s="60"/>
      <c r="N13" s="61"/>
      <c r="O13" s="51"/>
      <c r="P13" s="50"/>
      <c r="Q13" s="50"/>
    </row>
    <row r="14" spans="2:17" ht="14.4" customHeight="1" x14ac:dyDescent="0.3">
      <c r="B14" s="11"/>
      <c r="C14" s="13"/>
      <c r="D14" s="13"/>
      <c r="E14" s="13"/>
      <c r="F14" s="13"/>
      <c r="G14" s="59"/>
      <c r="H14" s="60"/>
      <c r="I14" s="60"/>
      <c r="J14" s="60"/>
      <c r="K14" s="60"/>
      <c r="L14" s="60"/>
      <c r="M14" s="60"/>
      <c r="N14" s="61"/>
      <c r="O14" s="51"/>
      <c r="P14" s="50"/>
      <c r="Q14" s="50"/>
    </row>
    <row r="15" spans="2:17" ht="14.4" customHeight="1" x14ac:dyDescent="0.3">
      <c r="B15" s="11" t="s">
        <v>142</v>
      </c>
      <c r="C15" s="21">
        <f>DouYu!$E$8*1000000</f>
        <v>4477000000</v>
      </c>
      <c r="D15" s="21">
        <f>DouYu!$E$8*1000000</f>
        <v>4477000000</v>
      </c>
      <c r="E15" s="21">
        <f>DouYu!$E$8*1000000</f>
        <v>4477000000</v>
      </c>
      <c r="F15" s="21">
        <f>DouYu!$E$8*1000000</f>
        <v>4477000000</v>
      </c>
      <c r="G15" s="59"/>
      <c r="H15" s="60"/>
      <c r="I15" s="60"/>
      <c r="J15" s="60"/>
      <c r="K15" s="60"/>
      <c r="L15" s="60"/>
      <c r="M15" s="60"/>
      <c r="N15" s="61"/>
      <c r="O15" s="51"/>
      <c r="P15" s="50"/>
      <c r="Q15" s="50"/>
    </row>
    <row r="16" spans="2:17" ht="14.4" customHeight="1" x14ac:dyDescent="0.3">
      <c r="B16" s="11" t="s">
        <v>80</v>
      </c>
      <c r="C16" s="13">
        <f>C13</f>
        <v>0.65403470793217511</v>
      </c>
      <c r="D16" s="70">
        <f>D13</f>
        <v>4.6103437870202963</v>
      </c>
      <c r="E16" s="13">
        <f>E13</f>
        <v>7.0203877980679392</v>
      </c>
      <c r="F16" s="13">
        <f>F13</f>
        <v>5.5</v>
      </c>
      <c r="G16" s="59"/>
      <c r="H16" s="60"/>
      <c r="I16" s="60"/>
      <c r="J16" s="60"/>
      <c r="K16" s="60"/>
      <c r="L16" s="60"/>
      <c r="M16" s="60"/>
      <c r="N16" s="61"/>
      <c r="O16" s="51"/>
      <c r="P16" s="50"/>
      <c r="Q16" s="50"/>
    </row>
    <row r="17" spans="2:17" ht="14.4" customHeight="1" x14ac:dyDescent="0.3">
      <c r="B17" s="11" t="s">
        <v>81</v>
      </c>
      <c r="C17" s="21">
        <f>C16*C15</f>
        <v>2928113387.4123478</v>
      </c>
      <c r="D17" s="21">
        <f>D16*D15</f>
        <v>20640509134.489868</v>
      </c>
      <c r="E17" s="21">
        <f>E16*E15</f>
        <v>31430276171.950165</v>
      </c>
      <c r="F17" s="21">
        <f>F16*F15</f>
        <v>24623500000</v>
      </c>
      <c r="G17" s="59"/>
      <c r="H17" s="60"/>
      <c r="I17" s="60"/>
      <c r="J17" s="60"/>
      <c r="K17" s="60"/>
      <c r="L17" s="60"/>
      <c r="M17" s="60"/>
      <c r="N17" s="61"/>
      <c r="O17" s="51"/>
      <c r="P17" s="50"/>
      <c r="Q17" s="50"/>
    </row>
    <row r="18" spans="2:17" ht="14.4" customHeight="1" x14ac:dyDescent="0.3">
      <c r="B18" s="11" t="s">
        <v>82</v>
      </c>
      <c r="C18" s="10">
        <f>4308.1*1000000</f>
        <v>4308100000</v>
      </c>
      <c r="D18" s="10">
        <f>4308.1*1000000</f>
        <v>4308100000</v>
      </c>
      <c r="E18" s="10">
        <f>4308.1*1000000</f>
        <v>4308100000</v>
      </c>
      <c r="F18" s="10">
        <f>4308.1*1000000</f>
        <v>4308100000</v>
      </c>
      <c r="G18" s="59"/>
      <c r="H18" s="60"/>
      <c r="I18" s="60"/>
      <c r="J18" s="60"/>
      <c r="K18" s="60"/>
      <c r="L18" s="60"/>
      <c r="M18" s="60"/>
      <c r="N18" s="61"/>
      <c r="O18" s="51"/>
      <c r="P18" s="50"/>
      <c r="Q18" s="50"/>
    </row>
    <row r="19" spans="2:17" ht="14.4" customHeight="1" x14ac:dyDescent="0.3">
      <c r="B19" s="11" t="s">
        <v>83</v>
      </c>
      <c r="C19" s="11">
        <v>0</v>
      </c>
      <c r="D19" s="11">
        <v>0</v>
      </c>
      <c r="E19" s="11">
        <v>0</v>
      </c>
      <c r="F19" s="11">
        <v>0</v>
      </c>
      <c r="G19" s="59"/>
      <c r="H19" s="60"/>
      <c r="I19" s="60"/>
      <c r="J19" s="60"/>
      <c r="K19" s="60"/>
      <c r="L19" s="60"/>
      <c r="M19" s="60"/>
      <c r="N19" s="61"/>
      <c r="O19" s="51"/>
      <c r="P19" s="50"/>
      <c r="Q19" s="50"/>
    </row>
    <row r="20" spans="2:17" ht="14.4" customHeight="1" x14ac:dyDescent="0.3">
      <c r="B20" s="11"/>
      <c r="C20" s="11"/>
      <c r="D20" s="11"/>
      <c r="E20" s="11"/>
      <c r="F20" s="11"/>
      <c r="G20" s="59"/>
      <c r="H20" s="60"/>
      <c r="I20" s="60"/>
      <c r="J20" s="60"/>
      <c r="K20" s="60"/>
      <c r="L20" s="60"/>
      <c r="M20" s="60"/>
      <c r="N20" s="61"/>
      <c r="O20" s="51"/>
      <c r="P20" s="50"/>
      <c r="Q20" s="50"/>
    </row>
    <row r="21" spans="2:17" ht="14.4" customHeight="1" x14ac:dyDescent="0.3">
      <c r="B21" s="11" t="s">
        <v>84</v>
      </c>
      <c r="C21" s="22">
        <f>(C17-C18+C19)*0.15</f>
        <v>-206997991.88814783</v>
      </c>
      <c r="D21" s="22">
        <f t="shared" ref="D21:F21" si="0">(D17-D18+D19)*0.15</f>
        <v>2449861370.17348</v>
      </c>
      <c r="E21" s="22">
        <f t="shared" si="0"/>
        <v>4068326425.7925243</v>
      </c>
      <c r="F21" s="22">
        <f t="shared" si="0"/>
        <v>3047310000</v>
      </c>
      <c r="G21" s="59"/>
      <c r="H21" s="60"/>
      <c r="I21" s="60"/>
      <c r="J21" s="60"/>
      <c r="K21" s="60"/>
      <c r="L21" s="60"/>
      <c r="M21" s="60"/>
      <c r="N21" s="61"/>
      <c r="O21" s="51"/>
      <c r="P21" s="50"/>
      <c r="Q21" s="50"/>
    </row>
    <row r="22" spans="2:17" ht="14.4" customHeight="1" x14ac:dyDescent="0.3">
      <c r="B22" s="11" t="s">
        <v>85</v>
      </c>
      <c r="C22" s="10">
        <f>DouYu!$C$19</f>
        <v>280212650</v>
      </c>
      <c r="D22" s="10">
        <f>DouYu!$C$19</f>
        <v>280212650</v>
      </c>
      <c r="E22" s="10">
        <f>DouYu!$C$19</f>
        <v>280212650</v>
      </c>
      <c r="F22" s="10">
        <f>DouYu!$C$19</f>
        <v>280212650</v>
      </c>
      <c r="G22" s="59"/>
      <c r="H22" s="60"/>
      <c r="I22" s="60"/>
      <c r="J22" s="60"/>
      <c r="K22" s="60"/>
      <c r="L22" s="60"/>
      <c r="M22" s="60"/>
      <c r="N22" s="61"/>
      <c r="O22" s="51"/>
      <c r="P22" s="50"/>
      <c r="Q22" s="50"/>
    </row>
    <row r="23" spans="2:17" ht="14.4" customHeight="1" x14ac:dyDescent="0.3">
      <c r="B23" s="23" t="s">
        <v>86</v>
      </c>
      <c r="C23" s="71">
        <f>C21/C22</f>
        <v>-0.73871751288939969</v>
      </c>
      <c r="D23" s="24">
        <f>D21/D22</f>
        <v>8.7428649997545786</v>
      </c>
      <c r="E23" s="71">
        <f>E21/E22</f>
        <v>14.518710792651667</v>
      </c>
      <c r="F23" s="24">
        <f>F21/F22</f>
        <v>10.874990832854976</v>
      </c>
      <c r="G23" s="59"/>
      <c r="H23" s="60"/>
      <c r="I23" s="60"/>
      <c r="J23" s="60"/>
      <c r="K23" s="60"/>
      <c r="L23" s="60"/>
      <c r="M23" s="60"/>
      <c r="N23" s="61"/>
      <c r="O23" s="51"/>
      <c r="P23" s="50"/>
      <c r="Q23" s="50"/>
    </row>
    <row r="24" spans="2:17" ht="15" customHeight="1" thickBot="1" x14ac:dyDescent="0.35">
      <c r="B24" s="25" t="s">
        <v>87</v>
      </c>
      <c r="C24" s="25">
        <v>11.5</v>
      </c>
      <c r="D24" s="72">
        <v>11.5</v>
      </c>
      <c r="E24" s="25">
        <v>11.5</v>
      </c>
      <c r="F24" s="72">
        <v>11.5</v>
      </c>
      <c r="G24" s="62"/>
      <c r="H24" s="63"/>
      <c r="I24" s="63"/>
      <c r="J24" s="63"/>
      <c r="K24" s="63"/>
      <c r="L24" s="63"/>
      <c r="M24" s="63"/>
      <c r="N24" s="64"/>
      <c r="O24" s="51"/>
      <c r="P24" s="50"/>
      <c r="Q24" s="50"/>
    </row>
    <row r="25" spans="2:17" x14ac:dyDescent="0.3">
      <c r="G25" s="50"/>
      <c r="H25" s="50"/>
      <c r="I25" s="50"/>
      <c r="J25" s="50"/>
      <c r="K25" s="50"/>
      <c r="L25" s="50"/>
      <c r="M25" s="50"/>
      <c r="N25" s="50"/>
      <c r="O25" s="50"/>
      <c r="P25" s="50"/>
      <c r="Q25" s="50"/>
    </row>
    <row r="26" spans="2:17" x14ac:dyDescent="0.3">
      <c r="G26" s="50"/>
      <c r="H26" s="50"/>
      <c r="I26" s="50"/>
      <c r="J26" s="50"/>
      <c r="K26" s="50"/>
      <c r="L26" s="50"/>
      <c r="M26" s="50"/>
      <c r="N26" s="50"/>
      <c r="O26" s="50"/>
      <c r="P26" s="50"/>
      <c r="Q26" s="50"/>
    </row>
    <row r="27" spans="2:17" x14ac:dyDescent="0.3">
      <c r="G27" s="50"/>
      <c r="H27" s="50"/>
      <c r="I27" s="50"/>
      <c r="J27" s="50"/>
      <c r="K27" s="50"/>
      <c r="L27" s="50"/>
      <c r="M27" s="50"/>
      <c r="N27" s="50"/>
      <c r="O27" s="50"/>
      <c r="P27" s="50"/>
      <c r="Q27" s="50"/>
    </row>
  </sheetData>
  <mergeCells count="1">
    <mergeCell ref="G12:N2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1410D-651C-4B55-AE8A-2CE620C161B1}">
  <dimension ref="B2:H32"/>
  <sheetViews>
    <sheetView topLeftCell="A7" workbookViewId="0">
      <selection activeCell="B25" sqref="B25"/>
    </sheetView>
  </sheetViews>
  <sheetFormatPr defaultRowHeight="14.4" x14ac:dyDescent="0.3"/>
  <cols>
    <col min="2" max="2" width="22" bestFit="1" customWidth="1"/>
    <col min="3" max="4" width="22.5546875" bestFit="1" customWidth="1"/>
    <col min="5" max="5" width="25" bestFit="1" customWidth="1"/>
    <col min="6" max="6" width="17.6640625" bestFit="1" customWidth="1"/>
    <col min="7" max="7" width="15.21875" bestFit="1" customWidth="1"/>
    <col min="8" max="8" width="12.21875" bestFit="1" customWidth="1"/>
    <col min="9" max="9" width="11.88671875" bestFit="1" customWidth="1"/>
  </cols>
  <sheetData>
    <row r="2" spans="2:8" x14ac:dyDescent="0.3">
      <c r="B2" s="26">
        <v>1</v>
      </c>
      <c r="E2" s="38" t="s">
        <v>107</v>
      </c>
    </row>
    <row r="3" spans="2:8" x14ac:dyDescent="0.3">
      <c r="B3" s="26" t="s">
        <v>62</v>
      </c>
      <c r="C3" s="27" t="s">
        <v>63</v>
      </c>
      <c r="D3" s="28" t="s">
        <v>64</v>
      </c>
      <c r="E3" s="28" t="s">
        <v>90</v>
      </c>
      <c r="F3" s="28" t="s">
        <v>91</v>
      </c>
      <c r="G3" s="28" t="s">
        <v>92</v>
      </c>
      <c r="H3" s="28" t="s">
        <v>93</v>
      </c>
    </row>
    <row r="4" spans="2:8" x14ac:dyDescent="0.3">
      <c r="E4" s="4"/>
      <c r="G4" s="29"/>
      <c r="H4" s="4"/>
    </row>
    <row r="6" spans="2:8" x14ac:dyDescent="0.3">
      <c r="B6" s="28" t="s">
        <v>102</v>
      </c>
      <c r="C6" s="28" t="s">
        <v>103</v>
      </c>
      <c r="D6" s="28" t="s">
        <v>104</v>
      </c>
      <c r="E6" s="28" t="s">
        <v>72</v>
      </c>
    </row>
    <row r="7" spans="2:8" x14ac:dyDescent="0.3">
      <c r="B7" s="4"/>
      <c r="C7" s="4"/>
      <c r="D7" s="4"/>
      <c r="E7" s="36" t="e">
        <f>(((C7-B7)/B7)+((D7-C7)/C7))/2</f>
        <v>#DIV/0!</v>
      </c>
    </row>
    <row r="9" spans="2:8" x14ac:dyDescent="0.3">
      <c r="B9" s="28" t="s">
        <v>94</v>
      </c>
    </row>
    <row r="10" spans="2:8" x14ac:dyDescent="0.3">
      <c r="B10" s="28" t="s">
        <v>109</v>
      </c>
      <c r="C10" s="28" t="s">
        <v>111</v>
      </c>
      <c r="D10" s="28" t="s">
        <v>110</v>
      </c>
      <c r="E10" s="28" t="s">
        <v>70</v>
      </c>
      <c r="H10" s="29"/>
    </row>
    <row r="11" spans="2:8" x14ac:dyDescent="0.3">
      <c r="B11" s="4"/>
      <c r="C11" s="4"/>
      <c r="D11" s="4"/>
      <c r="E11" s="4">
        <f>B11-C11+D11</f>
        <v>0</v>
      </c>
      <c r="H11" s="30"/>
    </row>
    <row r="13" spans="2:8" x14ac:dyDescent="0.3">
      <c r="B13" s="28" t="s">
        <v>105</v>
      </c>
      <c r="H13" s="31"/>
    </row>
    <row r="14" spans="2:8" x14ac:dyDescent="0.3">
      <c r="B14" s="28" t="s">
        <v>109</v>
      </c>
      <c r="C14" s="28" t="s">
        <v>111</v>
      </c>
      <c r="D14" s="28" t="s">
        <v>110</v>
      </c>
      <c r="E14" s="28" t="s">
        <v>115</v>
      </c>
      <c r="F14" s="28" t="s">
        <v>45</v>
      </c>
    </row>
    <row r="15" spans="2:8" x14ac:dyDescent="0.3">
      <c r="B15" s="4"/>
      <c r="C15" s="4"/>
      <c r="D15" s="4"/>
      <c r="E15">
        <f>B15-C19+D19</f>
        <v>0</v>
      </c>
      <c r="F15" s="5" t="e">
        <f>E15/E11</f>
        <v>#DIV/0!</v>
      </c>
    </row>
    <row r="17" spans="2:8" x14ac:dyDescent="0.3">
      <c r="B17" s="28" t="s">
        <v>95</v>
      </c>
    </row>
    <row r="18" spans="2:8" x14ac:dyDescent="0.3">
      <c r="B18" s="28" t="s">
        <v>109</v>
      </c>
      <c r="C18" s="28" t="s">
        <v>111</v>
      </c>
      <c r="D18" s="28" t="s">
        <v>110</v>
      </c>
      <c r="E18" s="28" t="s">
        <v>96</v>
      </c>
      <c r="F18" s="28" t="s">
        <v>116</v>
      </c>
    </row>
    <row r="19" spans="2:8" x14ac:dyDescent="0.3">
      <c r="B19" s="4"/>
      <c r="C19" s="4"/>
      <c r="D19" s="4"/>
      <c r="E19">
        <f>B19-C23+D23</f>
        <v>0</v>
      </c>
      <c r="F19" s="5" t="e">
        <f>(B19-C19+D19)/E11</f>
        <v>#DIV/0!</v>
      </c>
    </row>
    <row r="20" spans="2:8" x14ac:dyDescent="0.3">
      <c r="B20" s="37"/>
      <c r="E20" s="5"/>
    </row>
    <row r="21" spans="2:8" x14ac:dyDescent="0.3">
      <c r="B21" s="28" t="s">
        <v>97</v>
      </c>
    </row>
    <row r="22" spans="2:8" x14ac:dyDescent="0.3">
      <c r="B22" s="28" t="s">
        <v>109</v>
      </c>
      <c r="C22" s="28" t="s">
        <v>111</v>
      </c>
      <c r="D22" s="28" t="s">
        <v>110</v>
      </c>
      <c r="E22" s="28" t="s">
        <v>98</v>
      </c>
      <c r="F22" s="28" t="s">
        <v>71</v>
      </c>
    </row>
    <row r="23" spans="2:8" x14ac:dyDescent="0.3">
      <c r="B23" s="47"/>
      <c r="C23" s="48"/>
      <c r="D23" s="48"/>
      <c r="E23">
        <f>(B23-C23+D23)</f>
        <v>0</v>
      </c>
      <c r="F23" s="4">
        <f>E19+E23</f>
        <v>0</v>
      </c>
    </row>
    <row r="24" spans="2:8" x14ac:dyDescent="0.3">
      <c r="B24" s="48"/>
      <c r="C24" s="48"/>
      <c r="D24" s="48"/>
    </row>
    <row r="25" spans="2:8" x14ac:dyDescent="0.3">
      <c r="B25" s="28" t="s">
        <v>127</v>
      </c>
    </row>
    <row r="26" spans="2:8" x14ac:dyDescent="0.3">
      <c r="B26" s="28" t="s">
        <v>109</v>
      </c>
      <c r="C26" s="28" t="s">
        <v>111</v>
      </c>
      <c r="D26" s="28" t="s">
        <v>110</v>
      </c>
      <c r="E26" s="28" t="s">
        <v>99</v>
      </c>
      <c r="H26" s="32"/>
    </row>
    <row r="27" spans="2:8" x14ac:dyDescent="0.3">
      <c r="B27" s="4"/>
      <c r="C27" s="4"/>
      <c r="D27" s="4"/>
      <c r="E27" s="4">
        <f>B27-C27+D27</f>
        <v>0</v>
      </c>
    </row>
    <row r="29" spans="2:8" x14ac:dyDescent="0.3">
      <c r="B29" s="33" t="s">
        <v>100</v>
      </c>
    </row>
    <row r="30" spans="2:8" x14ac:dyDescent="0.3">
      <c r="B30" s="27" t="s">
        <v>112</v>
      </c>
      <c r="C30" s="27" t="s">
        <v>113</v>
      </c>
      <c r="D30" s="28" t="s">
        <v>68</v>
      </c>
      <c r="E30" s="28" t="s">
        <v>101</v>
      </c>
      <c r="F30" s="28" t="s">
        <v>69</v>
      </c>
    </row>
    <row r="31" spans="2:8" x14ac:dyDescent="0.3">
      <c r="C31" s="40">
        <f>B31*H4/1000</f>
        <v>0</v>
      </c>
      <c r="D31" s="6" t="e">
        <f>IF(C31/E27&lt;0,"#N/A",C31/E27)</f>
        <v>#DIV/0!</v>
      </c>
      <c r="E31" s="29">
        <f>C31+(F4-E4)*0.15</f>
        <v>0</v>
      </c>
      <c r="F31" s="6" t="e">
        <f>E31/F23</f>
        <v>#DIV/0!</v>
      </c>
    </row>
    <row r="32" spans="2:8" x14ac:dyDescent="0.3">
      <c r="B32" s="41"/>
      <c r="C32" t="s">
        <v>119</v>
      </c>
      <c r="E32" s="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C2E02-1A64-4C93-91A7-95C1956ED2C8}">
  <dimension ref="B2:H32"/>
  <sheetViews>
    <sheetView workbookViewId="0">
      <selection activeCell="F23" sqref="F23"/>
    </sheetView>
  </sheetViews>
  <sheetFormatPr defaultRowHeight="14.4" x14ac:dyDescent="0.3"/>
  <cols>
    <col min="2" max="2" width="22" bestFit="1" customWidth="1"/>
    <col min="3" max="4" width="22.5546875" bestFit="1" customWidth="1"/>
    <col min="5" max="5" width="25" bestFit="1" customWidth="1"/>
    <col min="6" max="6" width="17.6640625" bestFit="1" customWidth="1"/>
    <col min="7" max="7" width="15.21875" bestFit="1" customWidth="1"/>
    <col min="8" max="8" width="12.21875" bestFit="1" customWidth="1"/>
    <col min="9" max="9" width="11.88671875" bestFit="1" customWidth="1"/>
  </cols>
  <sheetData>
    <row r="2" spans="2:8" x14ac:dyDescent="0.3">
      <c r="B2" s="26">
        <v>1</v>
      </c>
      <c r="E2" s="38" t="s">
        <v>107</v>
      </c>
    </row>
    <row r="3" spans="2:8" x14ac:dyDescent="0.3">
      <c r="B3" s="26" t="s">
        <v>62</v>
      </c>
      <c r="C3" s="27" t="s">
        <v>63</v>
      </c>
      <c r="D3" s="28" t="s">
        <v>64</v>
      </c>
      <c r="E3" s="28" t="s">
        <v>90</v>
      </c>
      <c r="F3" s="28" t="s">
        <v>91</v>
      </c>
      <c r="G3" s="28" t="s">
        <v>92</v>
      </c>
      <c r="H3" s="28" t="s">
        <v>93</v>
      </c>
    </row>
    <row r="4" spans="2:8" x14ac:dyDescent="0.3">
      <c r="B4" t="s">
        <v>106</v>
      </c>
      <c r="C4" t="s">
        <v>88</v>
      </c>
      <c r="D4" t="s">
        <v>41</v>
      </c>
      <c r="E4" s="4">
        <v>1983258</v>
      </c>
      <c r="F4">
        <v>0</v>
      </c>
      <c r="G4" s="29">
        <v>203923069</v>
      </c>
      <c r="H4" s="4">
        <v>221440050</v>
      </c>
    </row>
    <row r="5" spans="2:8" x14ac:dyDescent="0.3">
      <c r="H5" t="s">
        <v>108</v>
      </c>
    </row>
    <row r="6" spans="2:8" x14ac:dyDescent="0.3">
      <c r="B6" s="28" t="s">
        <v>102</v>
      </c>
      <c r="C6" s="28" t="s">
        <v>103</v>
      </c>
      <c r="D6" s="28" t="s">
        <v>104</v>
      </c>
      <c r="E6" s="28" t="s">
        <v>72</v>
      </c>
    </row>
    <row r="7" spans="2:8" x14ac:dyDescent="0.3">
      <c r="B7" s="4">
        <v>796904</v>
      </c>
      <c r="C7" s="4">
        <v>2184816</v>
      </c>
      <c r="D7" s="4">
        <v>4663440</v>
      </c>
      <c r="E7" s="36">
        <f>(((C7-B7)/B7)+((D7-C7)/C7))/2</f>
        <v>1.4380536684041521</v>
      </c>
    </row>
    <row r="9" spans="2:8" x14ac:dyDescent="0.3">
      <c r="B9" s="28" t="s">
        <v>94</v>
      </c>
    </row>
    <row r="10" spans="2:8" x14ac:dyDescent="0.3">
      <c r="B10" s="28" t="s">
        <v>109</v>
      </c>
      <c r="C10" s="28" t="s">
        <v>111</v>
      </c>
      <c r="D10" s="28" t="s">
        <v>110</v>
      </c>
      <c r="E10" s="28" t="s">
        <v>70</v>
      </c>
      <c r="H10" s="29"/>
    </row>
    <row r="11" spans="2:8" x14ac:dyDescent="0.3">
      <c r="B11" s="4">
        <v>4663440</v>
      </c>
      <c r="C11" s="4">
        <v>843582</v>
      </c>
      <c r="D11" s="4">
        <v>1631478</v>
      </c>
      <c r="E11" s="4">
        <f>B11-C11+D11</f>
        <v>5451336</v>
      </c>
      <c r="H11" s="30"/>
    </row>
    <row r="13" spans="2:8" x14ac:dyDescent="0.3">
      <c r="B13" s="28" t="s">
        <v>105</v>
      </c>
      <c r="H13" s="31"/>
    </row>
    <row r="14" spans="2:8" x14ac:dyDescent="0.3">
      <c r="B14" s="28" t="s">
        <v>109</v>
      </c>
      <c r="C14" s="28" t="s">
        <v>111</v>
      </c>
      <c r="D14" s="28" t="s">
        <v>110</v>
      </c>
      <c r="E14" s="28" t="s">
        <v>115</v>
      </c>
      <c r="F14" s="28" t="s">
        <v>45</v>
      </c>
    </row>
    <row r="15" spans="2:8" x14ac:dyDescent="0.3">
      <c r="B15" s="4">
        <v>729793</v>
      </c>
      <c r="C15" s="4">
        <v>131049</v>
      </c>
      <c r="D15" s="4">
        <v>273373</v>
      </c>
      <c r="E15">
        <f>B15-C19+D19</f>
        <v>729860</v>
      </c>
      <c r="F15" s="5">
        <f>E15/E11</f>
        <v>0.13388644545117012</v>
      </c>
    </row>
    <row r="17" spans="2:8" x14ac:dyDescent="0.3">
      <c r="B17" s="28" t="s">
        <v>95</v>
      </c>
    </row>
    <row r="18" spans="2:8" x14ac:dyDescent="0.3">
      <c r="B18" s="28" t="s">
        <v>109</v>
      </c>
      <c r="C18" s="28" t="s">
        <v>111</v>
      </c>
      <c r="D18" s="28" t="s">
        <v>110</v>
      </c>
      <c r="E18" s="28" t="s">
        <v>96</v>
      </c>
      <c r="F18" s="28" t="s">
        <v>116</v>
      </c>
    </row>
    <row r="19" spans="2:8" x14ac:dyDescent="0.3">
      <c r="B19" s="4">
        <v>26662</v>
      </c>
      <c r="C19" s="4">
        <v>28151</v>
      </c>
      <c r="D19" s="4">
        <v>28218</v>
      </c>
      <c r="E19">
        <f>B19-C23+D23</f>
        <v>26662</v>
      </c>
      <c r="F19" s="5">
        <f>(B19-C19+D19)/E11</f>
        <v>4.9032017105531565E-3</v>
      </c>
    </row>
    <row r="20" spans="2:8" x14ac:dyDescent="0.3">
      <c r="B20" s="37"/>
      <c r="E20" s="5"/>
    </row>
    <row r="21" spans="2:8" x14ac:dyDescent="0.3">
      <c r="B21" s="28" t="s">
        <v>97</v>
      </c>
    </row>
    <row r="22" spans="2:8" x14ac:dyDescent="0.3">
      <c r="B22" s="28" t="s">
        <v>109</v>
      </c>
      <c r="C22" s="28" t="s">
        <v>111</v>
      </c>
      <c r="D22" s="28" t="s">
        <v>110</v>
      </c>
      <c r="E22" s="28" t="s">
        <v>98</v>
      </c>
      <c r="F22" s="28" t="s">
        <v>71</v>
      </c>
    </row>
    <row r="23" spans="2:8" x14ac:dyDescent="0.3">
      <c r="B23" s="4">
        <v>26697</v>
      </c>
      <c r="C23" s="39"/>
      <c r="D23" s="39"/>
      <c r="E23">
        <f>(B23-C23+D23)</f>
        <v>26697</v>
      </c>
      <c r="F23" s="4">
        <f>E19+E23</f>
        <v>53359</v>
      </c>
    </row>
    <row r="25" spans="2:8" x14ac:dyDescent="0.3">
      <c r="B25" s="28" t="s">
        <v>127</v>
      </c>
    </row>
    <row r="26" spans="2:8" x14ac:dyDescent="0.3">
      <c r="B26" s="28" t="s">
        <v>109</v>
      </c>
      <c r="C26" s="28" t="s">
        <v>111</v>
      </c>
      <c r="D26" s="28" t="s">
        <v>110</v>
      </c>
      <c r="E26" s="28" t="s">
        <v>99</v>
      </c>
      <c r="H26" s="32"/>
    </row>
    <row r="27" spans="2:8" x14ac:dyDescent="0.3">
      <c r="B27" s="4">
        <v>-2506312</v>
      </c>
      <c r="C27" s="4">
        <v>-496169</v>
      </c>
      <c r="D27" s="4">
        <v>63460</v>
      </c>
      <c r="E27" s="4">
        <f>B27-C27+D27</f>
        <v>-1946683</v>
      </c>
    </row>
    <row r="29" spans="2:8" x14ac:dyDescent="0.3">
      <c r="B29" s="33" t="s">
        <v>100</v>
      </c>
    </row>
    <row r="30" spans="2:8" x14ac:dyDescent="0.3">
      <c r="B30" s="27" t="s">
        <v>112</v>
      </c>
      <c r="C30" s="27" t="s">
        <v>113</v>
      </c>
      <c r="D30" s="28" t="s">
        <v>68</v>
      </c>
      <c r="E30" s="28" t="s">
        <v>101</v>
      </c>
      <c r="F30" s="28" t="s">
        <v>69</v>
      </c>
    </row>
    <row r="31" spans="2:8" x14ac:dyDescent="0.3">
      <c r="B31">
        <v>24.19</v>
      </c>
      <c r="C31" s="40">
        <f>B31*H4</f>
        <v>5356634809.5</v>
      </c>
      <c r="D31" s="6" t="str">
        <f>IF(C32/(E27*1000)&lt;0,"#N/A",C32/(E27*1000))</f>
        <v>#N/A</v>
      </c>
      <c r="E31" s="29">
        <f>C32+(F4-E4)*1000</f>
        <v>33727640730</v>
      </c>
      <c r="F31" s="35">
        <f>E31/F23/1000</f>
        <v>632.08907082216683</v>
      </c>
      <c r="G31" t="s">
        <v>121</v>
      </c>
    </row>
    <row r="32" spans="2:8" x14ac:dyDescent="0.3">
      <c r="B32" s="41" t="s">
        <v>114</v>
      </c>
      <c r="C32" s="34">
        <f>C31/0.15</f>
        <v>35710898730</v>
      </c>
      <c r="E32" s="8"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F40B5-ACDF-4BD5-A989-0BE5850050AA}">
  <dimension ref="B2:H35"/>
  <sheetViews>
    <sheetView workbookViewId="0">
      <selection activeCell="E31" sqref="E31"/>
    </sheetView>
  </sheetViews>
  <sheetFormatPr defaultRowHeight="14.4" x14ac:dyDescent="0.3"/>
  <cols>
    <col min="2" max="2" width="22" bestFit="1" customWidth="1"/>
    <col min="3" max="4" width="22.5546875" bestFit="1" customWidth="1"/>
    <col min="5" max="5" width="25" bestFit="1" customWidth="1"/>
    <col min="6" max="6" width="17.6640625" bestFit="1" customWidth="1"/>
    <col min="7" max="7" width="15.21875" bestFit="1" customWidth="1"/>
    <col min="8" max="8" width="12.21875" bestFit="1" customWidth="1"/>
    <col min="9" max="9" width="11.88671875" bestFit="1" customWidth="1"/>
  </cols>
  <sheetData>
    <row r="2" spans="2:8" x14ac:dyDescent="0.3">
      <c r="B2" s="26">
        <v>1</v>
      </c>
      <c r="E2" s="38" t="s">
        <v>107</v>
      </c>
    </row>
    <row r="3" spans="2:8" x14ac:dyDescent="0.3">
      <c r="B3" s="26" t="s">
        <v>62</v>
      </c>
      <c r="C3" s="27" t="s">
        <v>63</v>
      </c>
      <c r="D3" s="28" t="s">
        <v>64</v>
      </c>
      <c r="E3" s="28" t="s">
        <v>90</v>
      </c>
      <c r="F3" s="28" t="s">
        <v>91</v>
      </c>
      <c r="G3" s="28" t="s">
        <v>92</v>
      </c>
      <c r="H3" s="28" t="s">
        <v>93</v>
      </c>
    </row>
    <row r="4" spans="2:8" x14ac:dyDescent="0.3">
      <c r="B4" t="s">
        <v>34</v>
      </c>
      <c r="C4" t="s">
        <v>89</v>
      </c>
      <c r="D4" t="s">
        <v>41</v>
      </c>
      <c r="E4" s="4">
        <v>849629</v>
      </c>
      <c r="F4">
        <v>0</v>
      </c>
      <c r="G4" s="29">
        <v>1412996000</v>
      </c>
      <c r="H4" s="4">
        <v>1875343000</v>
      </c>
    </row>
    <row r="5" spans="2:8" x14ac:dyDescent="0.3">
      <c r="G5" t="s">
        <v>107</v>
      </c>
    </row>
    <row r="6" spans="2:8" x14ac:dyDescent="0.3">
      <c r="B6" s="28" t="s">
        <v>102</v>
      </c>
      <c r="C6" s="28" t="s">
        <v>103</v>
      </c>
      <c r="D6" s="28" t="s">
        <v>104</v>
      </c>
      <c r="E6" s="28" t="s">
        <v>72</v>
      </c>
    </row>
    <row r="7" spans="2:8" x14ac:dyDescent="0.3">
      <c r="B7" s="4">
        <v>4334859</v>
      </c>
      <c r="C7" s="4">
        <v>3941596</v>
      </c>
      <c r="D7" s="4">
        <v>3860593</v>
      </c>
      <c r="E7" s="36">
        <f>(((C7-B7)/B7)+((D7-C7)/C7))/2</f>
        <v>-5.5635935810321786E-2</v>
      </c>
      <c r="G7" s="43"/>
    </row>
    <row r="9" spans="2:8" x14ac:dyDescent="0.3">
      <c r="B9" s="28" t="s">
        <v>94</v>
      </c>
    </row>
    <row r="10" spans="2:8" x14ac:dyDescent="0.3">
      <c r="B10" s="28" t="s">
        <v>109</v>
      </c>
      <c r="C10" s="28" t="s">
        <v>111</v>
      </c>
      <c r="D10" s="28" t="s">
        <v>110</v>
      </c>
      <c r="E10" s="28" t="s">
        <v>70</v>
      </c>
      <c r="H10" s="29"/>
    </row>
    <row r="11" spans="2:8" x14ac:dyDescent="0.3">
      <c r="B11" s="4">
        <v>3860593</v>
      </c>
      <c r="C11" s="44"/>
      <c r="D11" s="44"/>
      <c r="E11" s="4">
        <f>B11-C11+D11</f>
        <v>3860593</v>
      </c>
      <c r="H11" s="30"/>
    </row>
    <row r="13" spans="2:8" x14ac:dyDescent="0.3">
      <c r="B13" s="28" t="s">
        <v>105</v>
      </c>
      <c r="H13" s="31"/>
    </row>
    <row r="14" spans="2:8" x14ac:dyDescent="0.3">
      <c r="B14" s="28" t="s">
        <v>109</v>
      </c>
      <c r="C14" s="28" t="s">
        <v>111</v>
      </c>
      <c r="D14" s="28" t="s">
        <v>110</v>
      </c>
      <c r="E14" s="28" t="s">
        <v>115</v>
      </c>
      <c r="F14" s="28" t="s">
        <v>45</v>
      </c>
    </row>
    <row r="15" spans="2:8" x14ac:dyDescent="0.3">
      <c r="B15" s="4">
        <v>1305411</v>
      </c>
      <c r="C15" s="44"/>
      <c r="D15" s="44"/>
      <c r="E15">
        <f>B15-C19+D19</f>
        <v>1305411</v>
      </c>
      <c r="F15" s="5">
        <f>E15/E11</f>
        <v>0.33813743121846823</v>
      </c>
    </row>
    <row r="17" spans="2:8" x14ac:dyDescent="0.3">
      <c r="B17" s="28" t="s">
        <v>95</v>
      </c>
    </row>
    <row r="18" spans="2:8" x14ac:dyDescent="0.3">
      <c r="B18" s="28" t="s">
        <v>109</v>
      </c>
      <c r="C18" s="28" t="s">
        <v>111</v>
      </c>
      <c r="D18" s="28" t="s">
        <v>110</v>
      </c>
      <c r="E18" s="28" t="s">
        <v>96</v>
      </c>
      <c r="F18" s="28" t="s">
        <v>116</v>
      </c>
    </row>
    <row r="19" spans="2:8" x14ac:dyDescent="0.3">
      <c r="B19" s="4">
        <v>633928</v>
      </c>
      <c r="C19" s="44"/>
      <c r="D19" s="44"/>
      <c r="E19">
        <f>B19-C23+D23</f>
        <v>633928</v>
      </c>
      <c r="F19" s="5">
        <f>(B19-C19+D19)/E11</f>
        <v>0.16420482552809892</v>
      </c>
    </row>
    <row r="20" spans="2:8" x14ac:dyDescent="0.3">
      <c r="B20" s="37"/>
      <c r="E20" s="5"/>
    </row>
    <row r="21" spans="2:8" x14ac:dyDescent="0.3">
      <c r="B21" s="28" t="s">
        <v>97</v>
      </c>
    </row>
    <row r="22" spans="2:8" x14ac:dyDescent="0.3">
      <c r="B22" s="28" t="s">
        <v>109</v>
      </c>
      <c r="C22" s="28" t="s">
        <v>111</v>
      </c>
      <c r="D22" s="28" t="s">
        <v>110</v>
      </c>
      <c r="E22" s="28" t="s">
        <v>98</v>
      </c>
      <c r="F22" s="28" t="s">
        <v>71</v>
      </c>
    </row>
    <row r="23" spans="2:8" x14ac:dyDescent="0.3">
      <c r="B23" s="42">
        <f>15484+16189</f>
        <v>31673</v>
      </c>
      <c r="C23" s="44"/>
      <c r="D23" s="44"/>
      <c r="E23">
        <f>(B23-C23+D23)</f>
        <v>31673</v>
      </c>
      <c r="F23" s="4">
        <f>E19+E23</f>
        <v>665601</v>
      </c>
    </row>
    <row r="25" spans="2:8" x14ac:dyDescent="0.3">
      <c r="B25" s="28" t="s">
        <v>127</v>
      </c>
    </row>
    <row r="26" spans="2:8" x14ac:dyDescent="0.3">
      <c r="B26" s="28" t="s">
        <v>109</v>
      </c>
      <c r="C26" s="28" t="s">
        <v>111</v>
      </c>
      <c r="D26" s="28" t="s">
        <v>110</v>
      </c>
      <c r="E26" s="28" t="s">
        <v>99</v>
      </c>
      <c r="H26" s="32"/>
    </row>
    <row r="27" spans="2:8" x14ac:dyDescent="0.3">
      <c r="B27" s="4">
        <v>1133280</v>
      </c>
      <c r="C27" s="44"/>
      <c r="D27" s="44"/>
      <c r="E27" s="4">
        <f>B27-C27+D27</f>
        <v>1133280</v>
      </c>
      <c r="F27" t="s">
        <v>123</v>
      </c>
    </row>
    <row r="29" spans="2:8" x14ac:dyDescent="0.3">
      <c r="B29" s="33" t="s">
        <v>100</v>
      </c>
    </row>
    <row r="30" spans="2:8" x14ac:dyDescent="0.3">
      <c r="B30" s="27" t="s">
        <v>112</v>
      </c>
      <c r="C30" s="27" t="s">
        <v>113</v>
      </c>
      <c r="D30" s="28" t="s">
        <v>68</v>
      </c>
      <c r="E30" s="28" t="s">
        <v>101</v>
      </c>
      <c r="F30" s="28" t="s">
        <v>69</v>
      </c>
    </row>
    <row r="31" spans="2:8" x14ac:dyDescent="0.3">
      <c r="B31">
        <v>1.53</v>
      </c>
      <c r="C31" s="40">
        <f>B31*H4</f>
        <v>2869274790</v>
      </c>
      <c r="D31" s="6">
        <f>IF(C32/(E27*1000)&lt;0,"#N/A",C32/(E27*1000))</f>
        <v>2.2280123316391358</v>
      </c>
      <c r="E31" s="29">
        <f>C32+(F4-E4)*0.88</f>
        <v>2524214141.6799998</v>
      </c>
      <c r="F31" s="6">
        <f>E31/F23/1000</f>
        <v>3.7923833372846492</v>
      </c>
      <c r="G31" t="s">
        <v>121</v>
      </c>
    </row>
    <row r="32" spans="2:8" x14ac:dyDescent="0.3">
      <c r="B32" s="41" t="s">
        <v>118</v>
      </c>
      <c r="C32" s="34">
        <f>C31*0.88</f>
        <v>2524961815.1999998</v>
      </c>
      <c r="E32" s="8" t="s">
        <v>120</v>
      </c>
    </row>
    <row r="33" spans="3:5" x14ac:dyDescent="0.3">
      <c r="C33" s="8" t="s">
        <v>119</v>
      </c>
      <c r="E33" s="34"/>
    </row>
    <row r="34" spans="3:5" x14ac:dyDescent="0.3">
      <c r="C34" s="8" t="s">
        <v>120</v>
      </c>
    </row>
    <row r="35" spans="3:5" x14ac:dyDescent="0.3">
      <c r="C35" s="34"/>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5730D-56C2-474A-9DE2-5EA3E5333583}">
  <dimension ref="A1:B32"/>
  <sheetViews>
    <sheetView workbookViewId="0">
      <selection activeCell="B1" sqref="B1"/>
    </sheetView>
  </sheetViews>
  <sheetFormatPr defaultRowHeight="14.4" x14ac:dyDescent="0.3"/>
  <sheetData>
    <row r="1" spans="1:2" x14ac:dyDescent="0.3">
      <c r="A1" t="s">
        <v>13</v>
      </c>
      <c r="B1" s="1" t="s">
        <v>12</v>
      </c>
    </row>
    <row r="3" spans="1:2" x14ac:dyDescent="0.3">
      <c r="B3" s="1" t="s">
        <v>8</v>
      </c>
    </row>
    <row r="4" spans="1:2" x14ac:dyDescent="0.3">
      <c r="B4" t="s">
        <v>14</v>
      </c>
    </row>
    <row r="5" spans="1:2" x14ac:dyDescent="0.3">
      <c r="B5" t="s">
        <v>15</v>
      </c>
    </row>
    <row r="6" spans="1:2" x14ac:dyDescent="0.3">
      <c r="B6" t="s">
        <v>16</v>
      </c>
    </row>
    <row r="7" spans="1:2" x14ac:dyDescent="0.3">
      <c r="B7" t="s">
        <v>17</v>
      </c>
    </row>
    <row r="8" spans="1:2" x14ac:dyDescent="0.3">
      <c r="B8" t="s">
        <v>18</v>
      </c>
    </row>
    <row r="9" spans="1:2" x14ac:dyDescent="0.3">
      <c r="B9" t="s">
        <v>19</v>
      </c>
    </row>
    <row r="10" spans="1:2" x14ac:dyDescent="0.3">
      <c r="B10" t="s">
        <v>20</v>
      </c>
    </row>
    <row r="11" spans="1:2" x14ac:dyDescent="0.3">
      <c r="B11" t="s">
        <v>21</v>
      </c>
    </row>
    <row r="13" spans="1:2" x14ac:dyDescent="0.3">
      <c r="B13" s="1" t="s">
        <v>9</v>
      </c>
    </row>
    <row r="14" spans="1:2" x14ac:dyDescent="0.3">
      <c r="B14" t="s">
        <v>22</v>
      </c>
    </row>
    <row r="15" spans="1:2" x14ac:dyDescent="0.3">
      <c r="B15" s="2" t="s">
        <v>23</v>
      </c>
    </row>
    <row r="16" spans="1:2" x14ac:dyDescent="0.3">
      <c r="B16" t="s">
        <v>24</v>
      </c>
    </row>
    <row r="17" spans="1:2" x14ac:dyDescent="0.3">
      <c r="B17" t="s">
        <v>25</v>
      </c>
    </row>
    <row r="18" spans="1:2" x14ac:dyDescent="0.3">
      <c r="B18" t="s">
        <v>26</v>
      </c>
    </row>
    <row r="19" spans="1:2" x14ac:dyDescent="0.3">
      <c r="B19" t="s">
        <v>28</v>
      </c>
    </row>
    <row r="20" spans="1:2" x14ac:dyDescent="0.3">
      <c r="B20" t="s">
        <v>27</v>
      </c>
    </row>
    <row r="22" spans="1:2" x14ac:dyDescent="0.3">
      <c r="B22" s="1" t="s">
        <v>10</v>
      </c>
    </row>
    <row r="23" spans="1:2" x14ac:dyDescent="0.3">
      <c r="B23" s="3" t="s">
        <v>29</v>
      </c>
    </row>
    <row r="24" spans="1:2" x14ac:dyDescent="0.3">
      <c r="B24" s="3" t="s">
        <v>30</v>
      </c>
    </row>
    <row r="25" spans="1:2" x14ac:dyDescent="0.3">
      <c r="B25" s="3" t="s">
        <v>31</v>
      </c>
    </row>
    <row r="26" spans="1:2" x14ac:dyDescent="0.3">
      <c r="B26" s="3" t="s">
        <v>32</v>
      </c>
    </row>
    <row r="27" spans="1:2" x14ac:dyDescent="0.3">
      <c r="B27" s="3" t="s">
        <v>33</v>
      </c>
    </row>
    <row r="28" spans="1:2" x14ac:dyDescent="0.3">
      <c r="B28" s="3"/>
    </row>
    <row r="29" spans="1:2" x14ac:dyDescent="0.3">
      <c r="A29" t="s">
        <v>34</v>
      </c>
      <c r="B29" s="1" t="s">
        <v>11</v>
      </c>
    </row>
    <row r="31" spans="1:2" x14ac:dyDescent="0.3">
      <c r="B31" s="3" t="s">
        <v>35</v>
      </c>
    </row>
    <row r="32" spans="1:2" x14ac:dyDescent="0.3">
      <c r="B32" t="s">
        <v>33</v>
      </c>
    </row>
  </sheetData>
  <hyperlinks>
    <hyperlink ref="B3" r:id="rId1" xr:uid="{D226CCDC-2122-4B0F-8DFB-A61B7DB73C36}"/>
    <hyperlink ref="B13" r:id="rId2" xr:uid="{497E97E4-9118-4129-A3F7-EE4D4976A5AF}"/>
    <hyperlink ref="B22" r:id="rId3" xr:uid="{867DFF3A-581C-4485-B8F7-073E4210B0D4}"/>
    <hyperlink ref="B29" r:id="rId4" xr:uid="{843823BE-1C08-4FC9-8CE2-0BE05F152769}"/>
    <hyperlink ref="B1" r:id="rId5" location="dy77301_business" xr:uid="{BF19A8BF-2CF2-4466-9255-3447ADC690CA}"/>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47D8D-FDAC-4701-ABA4-FAA0FF699A41}">
  <dimension ref="B1:H33"/>
  <sheetViews>
    <sheetView workbookViewId="0">
      <selection activeCell="C33" sqref="C33"/>
    </sheetView>
  </sheetViews>
  <sheetFormatPr defaultRowHeight="14.4" x14ac:dyDescent="0.3"/>
  <cols>
    <col min="2" max="2" width="22" bestFit="1" customWidth="1"/>
    <col min="3" max="4" width="22.5546875" bestFit="1" customWidth="1"/>
    <col min="5" max="5" width="25" bestFit="1" customWidth="1"/>
    <col min="6" max="6" width="17.6640625" bestFit="1" customWidth="1"/>
    <col min="7" max="7" width="15.21875" bestFit="1" customWidth="1"/>
    <col min="8" max="8" width="12.21875" bestFit="1" customWidth="1"/>
    <col min="9" max="9" width="11.88671875" bestFit="1" customWidth="1"/>
  </cols>
  <sheetData>
    <row r="1" spans="2:8" x14ac:dyDescent="0.3">
      <c r="H1" t="s">
        <v>125</v>
      </c>
    </row>
    <row r="2" spans="2:8" x14ac:dyDescent="0.3">
      <c r="B2" s="26">
        <v>1</v>
      </c>
      <c r="E2" s="38" t="s">
        <v>107</v>
      </c>
    </row>
    <row r="3" spans="2:8" x14ac:dyDescent="0.3">
      <c r="B3" s="26" t="s">
        <v>62</v>
      </c>
      <c r="C3" s="27" t="s">
        <v>63</v>
      </c>
      <c r="D3" s="28" t="s">
        <v>64</v>
      </c>
      <c r="E3" s="28" t="s">
        <v>90</v>
      </c>
      <c r="F3" s="28" t="s">
        <v>91</v>
      </c>
      <c r="G3" s="28" t="s">
        <v>92</v>
      </c>
      <c r="H3" s="28" t="s">
        <v>93</v>
      </c>
    </row>
    <row r="4" spans="2:8" x14ac:dyDescent="0.3">
      <c r="B4" t="s">
        <v>58</v>
      </c>
      <c r="C4" t="s">
        <v>124</v>
      </c>
      <c r="D4" t="s">
        <v>41</v>
      </c>
      <c r="E4" s="4">
        <v>8936229</v>
      </c>
      <c r="F4" s="4">
        <v>1282516</v>
      </c>
      <c r="G4" s="29">
        <v>69097090</v>
      </c>
      <c r="H4" s="4">
        <v>69640885</v>
      </c>
    </row>
    <row r="5" spans="2:8" x14ac:dyDescent="0.3">
      <c r="G5" t="s">
        <v>126</v>
      </c>
    </row>
    <row r="6" spans="2:8" x14ac:dyDescent="0.3">
      <c r="B6" s="28" t="s">
        <v>102</v>
      </c>
      <c r="C6" s="28" t="s">
        <v>103</v>
      </c>
      <c r="D6" s="28" t="s">
        <v>104</v>
      </c>
      <c r="E6" s="28" t="s">
        <v>72</v>
      </c>
      <c r="G6" s="4"/>
      <c r="H6" s="4"/>
    </row>
    <row r="7" spans="2:8" x14ac:dyDescent="0.3">
      <c r="B7" s="4">
        <v>8204050</v>
      </c>
      <c r="C7" s="4">
        <v>11594792</v>
      </c>
      <c r="D7" s="4">
        <v>15763557</v>
      </c>
      <c r="E7" s="36">
        <f>(((C7-B7)/B7)+((D7-C7)/C7))/2</f>
        <v>0.38641935236111036</v>
      </c>
      <c r="G7" s="29"/>
      <c r="H7" s="4"/>
    </row>
    <row r="9" spans="2:8" x14ac:dyDescent="0.3">
      <c r="B9" s="28" t="s">
        <v>94</v>
      </c>
    </row>
    <row r="10" spans="2:8" x14ac:dyDescent="0.3">
      <c r="B10" s="28" t="s">
        <v>109</v>
      </c>
      <c r="C10" s="28" t="s">
        <v>111</v>
      </c>
      <c r="D10" s="28" t="s">
        <v>110</v>
      </c>
      <c r="E10" s="28" t="s">
        <v>70</v>
      </c>
      <c r="H10" s="29"/>
    </row>
    <row r="11" spans="2:8" x14ac:dyDescent="0.3">
      <c r="B11" s="4">
        <v>15763557</v>
      </c>
      <c r="C11" s="4">
        <v>3248931</v>
      </c>
      <c r="D11" s="4">
        <v>4780584</v>
      </c>
      <c r="E11" s="4">
        <f>B11-C11+D11</f>
        <v>17295210</v>
      </c>
      <c r="H11" s="30"/>
    </row>
    <row r="13" spans="2:8" x14ac:dyDescent="0.3">
      <c r="B13" s="28" t="s">
        <v>105</v>
      </c>
      <c r="H13" s="31"/>
    </row>
    <row r="14" spans="2:8" x14ac:dyDescent="0.3">
      <c r="B14" s="28" t="s">
        <v>109</v>
      </c>
      <c r="C14" s="28" t="s">
        <v>111</v>
      </c>
      <c r="D14" s="28" t="s">
        <v>110</v>
      </c>
      <c r="E14" s="28" t="s">
        <v>115</v>
      </c>
      <c r="F14" s="28" t="s">
        <v>45</v>
      </c>
    </row>
    <row r="15" spans="2:8" x14ac:dyDescent="0.3">
      <c r="B15" s="4">
        <v>5746423</v>
      </c>
      <c r="C15" s="4">
        <v>1233134</v>
      </c>
      <c r="D15" s="4">
        <v>1620259</v>
      </c>
      <c r="E15">
        <f>B15-C19+D19</f>
        <v>5623565</v>
      </c>
      <c r="F15" s="5">
        <f>E15/E11</f>
        <v>0.32515158821430906</v>
      </c>
    </row>
    <row r="17" spans="2:8" x14ac:dyDescent="0.3">
      <c r="B17" s="28" t="s">
        <v>95</v>
      </c>
    </row>
    <row r="18" spans="2:8" x14ac:dyDescent="0.3">
      <c r="B18" s="28" t="s">
        <v>109</v>
      </c>
      <c r="C18" s="28" t="s">
        <v>111</v>
      </c>
      <c r="D18" s="28" t="s">
        <v>110</v>
      </c>
      <c r="E18" s="28" t="s">
        <v>96</v>
      </c>
      <c r="F18" s="28" t="s">
        <v>116</v>
      </c>
    </row>
    <row r="19" spans="2:8" x14ac:dyDescent="0.3">
      <c r="B19" s="4">
        <v>2639690</v>
      </c>
      <c r="C19" s="4">
        <v>596409</v>
      </c>
      <c r="D19" s="4">
        <v>473551</v>
      </c>
      <c r="E19">
        <f>B19-C23+D23</f>
        <v>2639690</v>
      </c>
      <c r="F19" s="5">
        <f>(B19-C19+D19)/E11</f>
        <v>0.14552191040178178</v>
      </c>
    </row>
    <row r="20" spans="2:8" x14ac:dyDescent="0.3">
      <c r="B20" s="37"/>
      <c r="E20" s="5"/>
    </row>
    <row r="21" spans="2:8" x14ac:dyDescent="0.3">
      <c r="B21" s="28" t="s">
        <v>97</v>
      </c>
    </row>
    <row r="22" spans="2:8" x14ac:dyDescent="0.3">
      <c r="B22" s="28" t="s">
        <v>109</v>
      </c>
      <c r="C22" s="28" t="s">
        <v>111</v>
      </c>
      <c r="D22" s="28" t="s">
        <v>110</v>
      </c>
      <c r="E22" s="28" t="s">
        <v>98</v>
      </c>
      <c r="F22" s="28" t="s">
        <v>71</v>
      </c>
    </row>
    <row r="23" spans="2:8" x14ac:dyDescent="0.3">
      <c r="B23" s="47">
        <f>150991+69095</f>
        <v>220086</v>
      </c>
      <c r="C23" s="46"/>
      <c r="D23" s="46"/>
      <c r="E23">
        <f>(B23-C23+D23)</f>
        <v>220086</v>
      </c>
      <c r="F23" s="4">
        <f>E19+E23</f>
        <v>2859776</v>
      </c>
    </row>
    <row r="24" spans="2:8" x14ac:dyDescent="0.3">
      <c r="B24" s="48"/>
    </row>
    <row r="25" spans="2:8" x14ac:dyDescent="0.3">
      <c r="B25" s="28" t="s">
        <v>127</v>
      </c>
    </row>
    <row r="26" spans="2:8" x14ac:dyDescent="0.3">
      <c r="B26" s="28" t="s">
        <v>109</v>
      </c>
      <c r="C26" s="28" t="s">
        <v>111</v>
      </c>
      <c r="D26" s="28" t="s">
        <v>110</v>
      </c>
      <c r="E26" s="28" t="s">
        <v>99</v>
      </c>
      <c r="H26" s="32"/>
    </row>
    <row r="27" spans="2:8" x14ac:dyDescent="0.3">
      <c r="B27" s="4">
        <v>1641958</v>
      </c>
      <c r="C27" s="4">
        <v>444138</v>
      </c>
      <c r="D27" s="4">
        <v>3104338</v>
      </c>
      <c r="E27" s="4">
        <f>B27-C27+D27</f>
        <v>4302158</v>
      </c>
    </row>
    <row r="29" spans="2:8" x14ac:dyDescent="0.3">
      <c r="B29" s="33" t="s">
        <v>100</v>
      </c>
    </row>
    <row r="30" spans="2:8" x14ac:dyDescent="0.3">
      <c r="B30" s="27" t="s">
        <v>112</v>
      </c>
      <c r="C30" s="27" t="s">
        <v>113</v>
      </c>
      <c r="D30" s="28" t="s">
        <v>68</v>
      </c>
      <c r="E30" s="28" t="s">
        <v>101</v>
      </c>
      <c r="F30" s="28" t="s">
        <v>69</v>
      </c>
    </row>
    <row r="31" spans="2:8" x14ac:dyDescent="0.3">
      <c r="B31">
        <v>67.739999999999995</v>
      </c>
      <c r="C31" s="40">
        <f>B31*H4</f>
        <v>4717473549.8999996</v>
      </c>
      <c r="D31" s="6">
        <f>IF(C32/(E27*1000)&lt;0,"#N/A",C32/(E27*1000))</f>
        <v>7.3102437581325468</v>
      </c>
      <c r="E31" s="29">
        <f>C32+(F4-E4)*1000</f>
        <v>23796110666</v>
      </c>
      <c r="F31" s="6">
        <f>E31/(F23*1000)</f>
        <v>8.3209701270309289</v>
      </c>
    </row>
    <row r="32" spans="2:8" x14ac:dyDescent="0.3">
      <c r="B32" s="41" t="s">
        <v>114</v>
      </c>
      <c r="C32" s="34">
        <f>C31/0.15</f>
        <v>31449823666</v>
      </c>
      <c r="E32" s="8"/>
    </row>
    <row r="33" spans="3:3" x14ac:dyDescent="0.3">
      <c r="C33" s="8" t="s">
        <v>119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C9C66-2409-4C59-B126-CAB2F572F19F}">
  <dimension ref="B2:H33"/>
  <sheetViews>
    <sheetView workbookViewId="0">
      <selection activeCell="E31" sqref="E31"/>
    </sheetView>
  </sheetViews>
  <sheetFormatPr defaultRowHeight="14.4" x14ac:dyDescent="0.3"/>
  <cols>
    <col min="2" max="2" width="22" bestFit="1" customWidth="1"/>
    <col min="3" max="4" width="22.5546875" bestFit="1" customWidth="1"/>
    <col min="5" max="5" width="25" bestFit="1" customWidth="1"/>
    <col min="6" max="6" width="17.6640625" bestFit="1" customWidth="1"/>
    <col min="7" max="7" width="15.21875" bestFit="1" customWidth="1"/>
    <col min="8" max="8" width="12.21875" bestFit="1" customWidth="1"/>
    <col min="9" max="9" width="11.88671875" bestFit="1" customWidth="1"/>
  </cols>
  <sheetData>
    <row r="2" spans="2:8" x14ac:dyDescent="0.3">
      <c r="B2" s="26">
        <v>1</v>
      </c>
      <c r="E2" s="38" t="s">
        <v>107</v>
      </c>
    </row>
    <row r="3" spans="2:8" x14ac:dyDescent="0.3">
      <c r="B3" s="26" t="s">
        <v>62</v>
      </c>
      <c r="C3" s="27" t="s">
        <v>63</v>
      </c>
      <c r="D3" s="28" t="s">
        <v>64</v>
      </c>
      <c r="E3" s="28" t="s">
        <v>90</v>
      </c>
      <c r="F3" s="28" t="s">
        <v>91</v>
      </c>
      <c r="G3" s="28" t="s">
        <v>92</v>
      </c>
      <c r="H3" s="28" t="s">
        <v>93</v>
      </c>
    </row>
    <row r="4" spans="2:8" x14ac:dyDescent="0.3">
      <c r="B4" t="s">
        <v>59</v>
      </c>
      <c r="C4" t="s">
        <v>129</v>
      </c>
      <c r="D4" t="s">
        <v>41</v>
      </c>
      <c r="E4" s="4">
        <v>2714625</v>
      </c>
      <c r="F4" s="4">
        <v>100000</v>
      </c>
      <c r="G4" s="29">
        <v>311841813</v>
      </c>
      <c r="H4" s="29">
        <v>311841813</v>
      </c>
    </row>
    <row r="6" spans="2:8" x14ac:dyDescent="0.3">
      <c r="B6" s="28" t="s">
        <v>102</v>
      </c>
      <c r="C6" s="28" t="s">
        <v>103</v>
      </c>
      <c r="D6" s="28" t="s">
        <v>104</v>
      </c>
      <c r="E6" s="28" t="s">
        <v>72</v>
      </c>
    </row>
    <row r="7" spans="2:8" x14ac:dyDescent="0.3">
      <c r="B7" s="4">
        <v>523310</v>
      </c>
      <c r="C7" s="4">
        <v>2468449</v>
      </c>
      <c r="D7" s="4">
        <v>4128931</v>
      </c>
      <c r="E7" s="36">
        <f>(((C7-B7)/B7)+((D7-C7)/C7))/2</f>
        <v>2.194837080175617</v>
      </c>
    </row>
    <row r="9" spans="2:8" x14ac:dyDescent="0.3">
      <c r="B9" s="28" t="s">
        <v>94</v>
      </c>
    </row>
    <row r="10" spans="2:8" x14ac:dyDescent="0.3">
      <c r="B10" s="28" t="s">
        <v>109</v>
      </c>
      <c r="C10" s="28" t="s">
        <v>111</v>
      </c>
      <c r="D10" s="28" t="s">
        <v>110</v>
      </c>
      <c r="E10" s="28" t="s">
        <v>70</v>
      </c>
      <c r="H10" s="29"/>
    </row>
    <row r="11" spans="2:8" x14ac:dyDescent="0.3">
      <c r="B11" s="4">
        <v>4128931</v>
      </c>
      <c r="C11" s="4">
        <v>868008</v>
      </c>
      <c r="D11" s="4">
        <v>1373507</v>
      </c>
      <c r="E11" s="4">
        <f>B11-C11+D11</f>
        <v>4634430</v>
      </c>
      <c r="H11" s="30"/>
    </row>
    <row r="13" spans="2:8" x14ac:dyDescent="0.3">
      <c r="B13" s="28" t="s">
        <v>105</v>
      </c>
      <c r="H13" s="31"/>
    </row>
    <row r="14" spans="2:8" x14ac:dyDescent="0.3">
      <c r="B14" s="28" t="s">
        <v>109</v>
      </c>
      <c r="C14" s="28" t="s">
        <v>111</v>
      </c>
      <c r="D14" s="28" t="s">
        <v>110</v>
      </c>
      <c r="E14" s="28" t="s">
        <v>115</v>
      </c>
      <c r="F14" s="28" t="s">
        <v>45</v>
      </c>
    </row>
    <row r="15" spans="2:8" x14ac:dyDescent="0.3">
      <c r="B15" s="4">
        <v>855438</v>
      </c>
      <c r="C15" s="4">
        <v>197044</v>
      </c>
      <c r="D15" s="4">
        <v>189316</v>
      </c>
      <c r="E15">
        <f>B15-C19+D19</f>
        <v>622981</v>
      </c>
      <c r="F15" s="5">
        <f>E15/E11</f>
        <v>0.13442451391001697</v>
      </c>
    </row>
    <row r="17" spans="2:8" x14ac:dyDescent="0.3">
      <c r="B17" s="28" t="s">
        <v>95</v>
      </c>
    </row>
    <row r="18" spans="2:8" x14ac:dyDescent="0.3">
      <c r="B18" s="28" t="s">
        <v>109</v>
      </c>
      <c r="C18" s="28" t="s">
        <v>111</v>
      </c>
      <c r="D18" s="28" t="s">
        <v>110</v>
      </c>
      <c r="E18" s="28" t="s">
        <v>96</v>
      </c>
      <c r="F18" s="28" t="s">
        <v>116</v>
      </c>
    </row>
    <row r="19" spans="2:8" x14ac:dyDescent="0.3">
      <c r="B19" s="4">
        <v>-728973</v>
      </c>
      <c r="C19" s="4">
        <v>-74276</v>
      </c>
      <c r="D19" s="4">
        <v>-306733</v>
      </c>
      <c r="E19">
        <f>B19-C23+D23</f>
        <v>-794883</v>
      </c>
      <c r="F19" s="5">
        <f>(B19-C19+D19)/E11</f>
        <v>-0.2074537753294364</v>
      </c>
    </row>
    <row r="20" spans="2:8" x14ac:dyDescent="0.3">
      <c r="B20" s="37"/>
      <c r="E20" s="5"/>
    </row>
    <row r="21" spans="2:8" x14ac:dyDescent="0.3">
      <c r="B21" s="28" t="s">
        <v>97</v>
      </c>
    </row>
    <row r="22" spans="2:8" x14ac:dyDescent="0.3">
      <c r="B22" s="28" t="s">
        <v>109</v>
      </c>
      <c r="C22" s="28" t="s">
        <v>111</v>
      </c>
      <c r="D22" s="28" t="s">
        <v>110</v>
      </c>
      <c r="E22" s="28" t="s">
        <v>98</v>
      </c>
      <c r="F22" s="28" t="s">
        <v>71</v>
      </c>
    </row>
    <row r="23" spans="2:8" x14ac:dyDescent="0.3">
      <c r="B23" s="47">
        <f>542731+99714</f>
        <v>642445</v>
      </c>
      <c r="C23" s="47">
        <v>-120050</v>
      </c>
      <c r="D23" s="47">
        <v>-185960</v>
      </c>
      <c r="E23">
        <f>(B23-C23+D23)</f>
        <v>576535</v>
      </c>
      <c r="F23" s="4">
        <f>E19+E23</f>
        <v>-218348</v>
      </c>
    </row>
    <row r="24" spans="2:8" x14ac:dyDescent="0.3">
      <c r="B24" s="48"/>
      <c r="C24" s="48"/>
      <c r="D24" s="48"/>
    </row>
    <row r="25" spans="2:8" x14ac:dyDescent="0.3">
      <c r="B25" s="28" t="s">
        <v>127</v>
      </c>
    </row>
    <row r="26" spans="2:8" x14ac:dyDescent="0.3">
      <c r="B26" s="28" t="s">
        <v>109</v>
      </c>
      <c r="C26" s="28" t="s">
        <v>111</v>
      </c>
      <c r="D26" s="28" t="s">
        <v>110</v>
      </c>
      <c r="E26" s="28" t="s">
        <v>99</v>
      </c>
      <c r="H26" s="32"/>
    </row>
    <row r="27" spans="2:8" x14ac:dyDescent="0.3">
      <c r="B27" s="4">
        <v>-320295</v>
      </c>
      <c r="C27" s="4">
        <v>-120050</v>
      </c>
      <c r="D27" s="4">
        <v>-185960</v>
      </c>
      <c r="E27" s="4">
        <f>B27-C27+D27</f>
        <v>-386205</v>
      </c>
    </row>
    <row r="29" spans="2:8" x14ac:dyDescent="0.3">
      <c r="B29" s="33" t="s">
        <v>100</v>
      </c>
    </row>
    <row r="30" spans="2:8" x14ac:dyDescent="0.3">
      <c r="B30" s="27" t="s">
        <v>112</v>
      </c>
      <c r="C30" s="27" t="s">
        <v>113</v>
      </c>
      <c r="D30" s="28" t="s">
        <v>68</v>
      </c>
      <c r="E30" s="28" t="s">
        <v>101</v>
      </c>
      <c r="F30" s="28" t="s">
        <v>69</v>
      </c>
    </row>
    <row r="31" spans="2:8" x14ac:dyDescent="0.3">
      <c r="B31">
        <v>15.65</v>
      </c>
      <c r="C31" s="40">
        <f>B31*H4</f>
        <v>4880324373.4499998</v>
      </c>
      <c r="D31" s="6" t="str">
        <f>IF(C32/E27&lt;0,"#N/A",C32/E27)</f>
        <v>#N/A</v>
      </c>
      <c r="E31" s="29">
        <f>C32+(F4-E4)*1000</f>
        <v>29920870823</v>
      </c>
      <c r="F31" s="35" t="str">
        <f>IF(E31/(F23*1000)&lt;0,"#N/A",(E31/(F23*1000)))</f>
        <v>#N/A</v>
      </c>
    </row>
    <row r="32" spans="2:8" x14ac:dyDescent="0.3">
      <c r="B32" s="41" t="s">
        <v>114</v>
      </c>
      <c r="C32" s="34">
        <f>C31/0.15</f>
        <v>32535495823</v>
      </c>
      <c r="E32" s="8"/>
    </row>
    <row r="33" spans="3:3" x14ac:dyDescent="0.3">
      <c r="C33" t="s">
        <v>119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17F60-67B8-44B2-8C85-D5AD27E2CA37}">
  <dimension ref="B2:H33"/>
  <sheetViews>
    <sheetView workbookViewId="0">
      <selection activeCell="B9" sqref="B9:E10"/>
    </sheetView>
  </sheetViews>
  <sheetFormatPr defaultRowHeight="14.4" x14ac:dyDescent="0.3"/>
  <cols>
    <col min="2" max="2" width="22" bestFit="1" customWidth="1"/>
    <col min="3" max="4" width="22.5546875" bestFit="1" customWidth="1"/>
    <col min="5" max="5" width="25" bestFit="1" customWidth="1"/>
    <col min="6" max="6" width="17.6640625" bestFit="1" customWidth="1"/>
    <col min="7" max="7" width="15.21875" bestFit="1" customWidth="1"/>
    <col min="8" max="8" width="13.77734375" bestFit="1" customWidth="1"/>
    <col min="9" max="9" width="11.88671875" bestFit="1" customWidth="1"/>
  </cols>
  <sheetData>
    <row r="2" spans="2:8" x14ac:dyDescent="0.3">
      <c r="B2" s="26">
        <v>1</v>
      </c>
      <c r="E2" s="38" t="s">
        <v>107</v>
      </c>
    </row>
    <row r="3" spans="2:8" x14ac:dyDescent="0.3">
      <c r="B3" s="26" t="s">
        <v>62</v>
      </c>
      <c r="C3" s="27" t="s">
        <v>63</v>
      </c>
      <c r="D3" s="28" t="s">
        <v>64</v>
      </c>
      <c r="E3" s="28" t="s">
        <v>90</v>
      </c>
      <c r="F3" s="28" t="s">
        <v>91</v>
      </c>
      <c r="G3" s="28" t="s">
        <v>92</v>
      </c>
      <c r="H3" s="28" t="s">
        <v>93</v>
      </c>
    </row>
    <row r="4" spans="2:8" x14ac:dyDescent="0.3">
      <c r="B4" t="s">
        <v>60</v>
      </c>
      <c r="C4" t="s">
        <v>131</v>
      </c>
      <c r="D4" t="s">
        <v>41</v>
      </c>
      <c r="E4" s="4">
        <v>11874293</v>
      </c>
      <c r="F4" s="29">
        <f>3586155+651276</f>
        <v>4237431</v>
      </c>
      <c r="G4" s="29">
        <f>5083030810/7</f>
        <v>726147258.57142854</v>
      </c>
      <c r="H4" s="29">
        <f>G4</f>
        <v>726147258.57142854</v>
      </c>
    </row>
    <row r="6" spans="2:8" x14ac:dyDescent="0.3">
      <c r="B6" s="28" t="s">
        <v>102</v>
      </c>
      <c r="C6" s="28" t="s">
        <v>103</v>
      </c>
      <c r="D6" s="28" t="s">
        <v>104</v>
      </c>
      <c r="E6" s="28" t="s">
        <v>72</v>
      </c>
    </row>
    <row r="7" spans="2:8" x14ac:dyDescent="0.3">
      <c r="B7" s="4">
        <v>11237407</v>
      </c>
      <c r="C7" s="4">
        <v>11237407</v>
      </c>
      <c r="D7" s="4">
        <v>24989116</v>
      </c>
      <c r="E7" s="36">
        <f>(((C7-B7)/B7)+((D7-C7)/C7))/2</f>
        <v>0.61187198256679676</v>
      </c>
    </row>
    <row r="9" spans="2:8" x14ac:dyDescent="0.3">
      <c r="B9" s="28" t="s">
        <v>94</v>
      </c>
    </row>
    <row r="10" spans="2:8" x14ac:dyDescent="0.3">
      <c r="B10" s="28" t="s">
        <v>109</v>
      </c>
      <c r="C10" s="28" t="s">
        <v>111</v>
      </c>
      <c r="D10" s="28" t="s">
        <v>110</v>
      </c>
      <c r="E10" s="28" t="s">
        <v>70</v>
      </c>
      <c r="H10" s="29"/>
    </row>
    <row r="11" spans="2:8" x14ac:dyDescent="0.3">
      <c r="B11" s="4">
        <v>24989116</v>
      </c>
      <c r="C11" s="4">
        <v>4877305</v>
      </c>
      <c r="D11" s="4">
        <v>6989919</v>
      </c>
      <c r="E11" s="4">
        <f>B11-C11+D11</f>
        <v>27101730</v>
      </c>
      <c r="H11" s="30"/>
    </row>
    <row r="13" spans="2:8" x14ac:dyDescent="0.3">
      <c r="B13" s="28" t="s">
        <v>105</v>
      </c>
      <c r="H13" s="31"/>
    </row>
    <row r="14" spans="2:8" x14ac:dyDescent="0.3">
      <c r="B14" s="28" t="s">
        <v>109</v>
      </c>
      <c r="C14" s="28" t="s">
        <v>111</v>
      </c>
      <c r="D14" s="28" t="s">
        <v>110</v>
      </c>
      <c r="E14" s="28" t="s">
        <v>115</v>
      </c>
      <c r="F14" s="28" t="s">
        <v>45</v>
      </c>
    </row>
    <row r="15" spans="2:8" x14ac:dyDescent="0.3">
      <c r="B15" s="4">
        <f>24989116-27132811</f>
        <v>-2143695</v>
      </c>
      <c r="C15" s="4">
        <f>C11-4848219</f>
        <v>29086</v>
      </c>
      <c r="D15" s="4">
        <f>D11-7277196</f>
        <v>-287277</v>
      </c>
      <c r="E15" s="29">
        <f>B15-C19+D19</f>
        <v>-3107175</v>
      </c>
      <c r="F15" s="5">
        <f>E15/E11</f>
        <v>-0.11464858516412052</v>
      </c>
    </row>
    <row r="17" spans="2:8" x14ac:dyDescent="0.3">
      <c r="B17" s="28" t="s">
        <v>95</v>
      </c>
    </row>
    <row r="18" spans="2:8" x14ac:dyDescent="0.3">
      <c r="B18" s="28" t="s">
        <v>109</v>
      </c>
      <c r="C18" s="28" t="s">
        <v>111</v>
      </c>
      <c r="D18" s="28" t="s">
        <v>110</v>
      </c>
      <c r="E18" s="28" t="s">
        <v>96</v>
      </c>
      <c r="F18" s="28" t="s">
        <v>116</v>
      </c>
    </row>
    <row r="19" spans="2:8" x14ac:dyDescent="0.3">
      <c r="B19" s="4">
        <v>-8306236</v>
      </c>
      <c r="C19" s="4">
        <v>-1062480</v>
      </c>
      <c r="D19" s="4">
        <v>-2025960</v>
      </c>
      <c r="E19" s="29">
        <f>B19-C23+D23</f>
        <v>-8306236</v>
      </c>
      <c r="F19" s="5">
        <f>(B19-C19+D19)/E11</f>
        <v>-0.34203410630981862</v>
      </c>
    </row>
    <row r="20" spans="2:8" x14ac:dyDescent="0.3">
      <c r="B20" s="37"/>
      <c r="E20" s="5"/>
    </row>
    <row r="21" spans="2:8" x14ac:dyDescent="0.3">
      <c r="B21" s="28" t="s">
        <v>97</v>
      </c>
    </row>
    <row r="22" spans="2:8" x14ac:dyDescent="0.3">
      <c r="B22" s="28" t="s">
        <v>109</v>
      </c>
      <c r="C22" s="28" t="s">
        <v>111</v>
      </c>
      <c r="D22" s="28" t="s">
        <v>110</v>
      </c>
      <c r="E22" s="28" t="s">
        <v>98</v>
      </c>
      <c r="F22" s="28" t="s">
        <v>71</v>
      </c>
    </row>
    <row r="23" spans="2:8" x14ac:dyDescent="0.3">
      <c r="B23" s="47">
        <f>312138+346672+12055624+2265543</f>
        <v>14979977</v>
      </c>
      <c r="C23" s="39"/>
      <c r="D23" s="39"/>
      <c r="E23" s="29">
        <f>(B23-C23+D23)</f>
        <v>14979977</v>
      </c>
      <c r="F23" s="4">
        <f>E19+E23</f>
        <v>6673741</v>
      </c>
    </row>
    <row r="24" spans="2:8" x14ac:dyDescent="0.3">
      <c r="B24" s="48"/>
      <c r="C24" s="48"/>
      <c r="D24" s="48"/>
    </row>
    <row r="25" spans="2:8" x14ac:dyDescent="0.3">
      <c r="B25" s="28" t="s">
        <v>127</v>
      </c>
    </row>
    <row r="26" spans="2:8" x14ac:dyDescent="0.3">
      <c r="B26" s="28" t="s">
        <v>109</v>
      </c>
      <c r="C26" s="28" t="s">
        <v>111</v>
      </c>
      <c r="D26" s="28" t="s">
        <v>110</v>
      </c>
      <c r="E26" s="28" t="s">
        <v>99</v>
      </c>
      <c r="H26" s="32"/>
    </row>
    <row r="27" spans="2:8" x14ac:dyDescent="0.3">
      <c r="B27" s="4">
        <v>-9408766</v>
      </c>
      <c r="C27" s="4">
        <v>-685056</v>
      </c>
      <c r="D27" s="4">
        <v>-1813976</v>
      </c>
      <c r="E27" s="4">
        <f>B27-C27+D27</f>
        <v>-10537686</v>
      </c>
    </row>
    <row r="29" spans="2:8" x14ac:dyDescent="0.3">
      <c r="B29" s="33" t="s">
        <v>100</v>
      </c>
    </row>
    <row r="30" spans="2:8" x14ac:dyDescent="0.3">
      <c r="B30" s="27" t="s">
        <v>112</v>
      </c>
      <c r="C30" s="27" t="s">
        <v>113</v>
      </c>
      <c r="D30" s="28" t="s">
        <v>68</v>
      </c>
      <c r="E30" s="28" t="s">
        <v>101</v>
      </c>
      <c r="F30" s="28" t="s">
        <v>69</v>
      </c>
    </row>
    <row r="31" spans="2:8" x14ac:dyDescent="0.3">
      <c r="B31">
        <v>18.71</v>
      </c>
      <c r="C31" s="40">
        <f>B31*H4</f>
        <v>13586215207.871429</v>
      </c>
      <c r="D31" s="6" t="str">
        <f>IF(C32/(E27*1000)&lt;0,"#N/A",C31/(E27*1000))</f>
        <v>#N/A</v>
      </c>
      <c r="E31" s="49">
        <f>C32+(F4-E4)*1000</f>
        <v>82937906052.476196</v>
      </c>
      <c r="F31" s="35">
        <f>E31/F23</f>
        <v>12427.498467872247</v>
      </c>
    </row>
    <row r="32" spans="2:8" x14ac:dyDescent="0.3">
      <c r="B32" s="41" t="s">
        <v>114</v>
      </c>
      <c r="C32" s="34">
        <f>C31/0.15</f>
        <v>90574768052.476196</v>
      </c>
      <c r="E32" s="8"/>
    </row>
    <row r="33" spans="3:3" x14ac:dyDescent="0.3">
      <c r="C33" t="s">
        <v>119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BDF0E-AAF1-4810-8D7E-23C089D2BAF6}">
  <dimension ref="B3:F19"/>
  <sheetViews>
    <sheetView workbookViewId="0">
      <selection activeCell="C20" sqref="C20"/>
    </sheetView>
  </sheetViews>
  <sheetFormatPr defaultRowHeight="14.4" x14ac:dyDescent="0.3"/>
  <cols>
    <col min="2" max="2" width="22" bestFit="1" customWidth="1"/>
    <col min="3" max="4" width="22.5546875" bestFit="1" customWidth="1"/>
    <col min="5" max="5" width="25" bestFit="1" customWidth="1"/>
    <col min="6" max="6" width="12.6640625" bestFit="1" customWidth="1"/>
  </cols>
  <sheetData>
    <row r="3" spans="2:6" x14ac:dyDescent="0.3">
      <c r="B3" s="28" t="s">
        <v>102</v>
      </c>
      <c r="C3" s="28" t="s">
        <v>103</v>
      </c>
      <c r="D3" s="28" t="s">
        <v>104</v>
      </c>
      <c r="E3" s="28" t="s">
        <v>72</v>
      </c>
    </row>
    <row r="4" spans="2:6" x14ac:dyDescent="0.3">
      <c r="B4">
        <v>786.9</v>
      </c>
      <c r="C4" s="37">
        <v>1885.7</v>
      </c>
      <c r="D4" s="37">
        <v>3654.4</v>
      </c>
      <c r="E4" s="36">
        <f>(((C4-B4)/B4)+((D4-C4)/C4))/2</f>
        <v>1.1671597801117444</v>
      </c>
    </row>
    <row r="6" spans="2:6" x14ac:dyDescent="0.3">
      <c r="B6" s="28" t="s">
        <v>94</v>
      </c>
    </row>
    <row r="7" spans="2:6" x14ac:dyDescent="0.3">
      <c r="B7" s="28" t="s">
        <v>109</v>
      </c>
      <c r="C7" s="28" t="s">
        <v>111</v>
      </c>
      <c r="D7" s="28" t="s">
        <v>110</v>
      </c>
      <c r="E7" s="28" t="s">
        <v>70</v>
      </c>
    </row>
    <row r="8" spans="2:6" x14ac:dyDescent="0.3">
      <c r="B8" s="37">
        <v>3654.4</v>
      </c>
      <c r="C8">
        <v>666.5</v>
      </c>
      <c r="D8" s="37">
        <v>1489.1</v>
      </c>
      <c r="E8" s="29">
        <f>B8-C8+D8</f>
        <v>4477</v>
      </c>
    </row>
    <row r="10" spans="2:6" x14ac:dyDescent="0.3">
      <c r="B10" s="28" t="s">
        <v>105</v>
      </c>
    </row>
    <row r="11" spans="2:6" x14ac:dyDescent="0.3">
      <c r="B11" s="28" t="s">
        <v>109</v>
      </c>
      <c r="C11" s="28" t="s">
        <v>111</v>
      </c>
      <c r="D11" s="28" t="s">
        <v>110</v>
      </c>
      <c r="E11" s="28" t="s">
        <v>115</v>
      </c>
      <c r="F11" s="28" t="s">
        <v>45</v>
      </c>
    </row>
    <row r="12" spans="2:6" x14ac:dyDescent="0.3">
      <c r="B12" s="4">
        <f>-552</f>
        <v>-552</v>
      </c>
      <c r="C12" s="4">
        <f>-641.9</f>
        <v>-641.9</v>
      </c>
      <c r="D12" s="4">
        <f>-1286</f>
        <v>-1286</v>
      </c>
      <c r="E12" s="29">
        <f>B12-C12+D12</f>
        <v>-1196.0999999999999</v>
      </c>
      <c r="F12" s="5">
        <f>E12/E8</f>
        <v>-0.26716551262005805</v>
      </c>
    </row>
    <row r="14" spans="2:6" x14ac:dyDescent="0.3">
      <c r="B14" s="28" t="s">
        <v>95</v>
      </c>
    </row>
    <row r="15" spans="2:6" x14ac:dyDescent="0.3">
      <c r="B15" s="28" t="s">
        <v>109</v>
      </c>
      <c r="C15" s="28" t="s">
        <v>111</v>
      </c>
      <c r="D15" s="28" t="s">
        <v>110</v>
      </c>
      <c r="E15" s="28" t="s">
        <v>96</v>
      </c>
      <c r="F15" s="28" t="s">
        <v>116</v>
      </c>
    </row>
    <row r="16" spans="2:6" x14ac:dyDescent="0.3">
      <c r="B16">
        <f>-859.1</f>
        <v>-859.1</v>
      </c>
      <c r="C16">
        <f>-155.8</f>
        <v>-155.80000000000001</v>
      </c>
      <c r="D16">
        <f>-48.5</f>
        <v>-48.5</v>
      </c>
      <c r="E16" s="29">
        <f>B16-C16+D16</f>
        <v>-751.8</v>
      </c>
      <c r="F16" s="5">
        <f>E16/E8</f>
        <v>-0.16792494974313155</v>
      </c>
    </row>
    <row r="18" spans="2:3" x14ac:dyDescent="0.3">
      <c r="B18" t="s">
        <v>140</v>
      </c>
      <c r="C18" s="29">
        <v>28021265</v>
      </c>
    </row>
    <row r="19" spans="2:3" x14ac:dyDescent="0.3">
      <c r="B19" t="s">
        <v>141</v>
      </c>
      <c r="C19" s="34">
        <f>C18*10</f>
        <v>280212650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EA66D-B88C-4B0A-BA26-47DA50F22303}">
  <dimension ref="A2:B9"/>
  <sheetViews>
    <sheetView workbookViewId="0">
      <selection activeCell="B8" sqref="B8"/>
    </sheetView>
  </sheetViews>
  <sheetFormatPr defaultRowHeight="14.4" x14ac:dyDescent="0.3"/>
  <sheetData>
    <row r="2" spans="1:2" x14ac:dyDescent="0.3">
      <c r="B2" s="8" t="s">
        <v>2</v>
      </c>
    </row>
    <row r="3" spans="1:2" x14ac:dyDescent="0.3">
      <c r="A3">
        <v>1</v>
      </c>
      <c r="B3" t="s">
        <v>4</v>
      </c>
    </row>
    <row r="4" spans="1:2" x14ac:dyDescent="0.3">
      <c r="A4">
        <v>2</v>
      </c>
      <c r="B4" t="s">
        <v>0</v>
      </c>
    </row>
    <row r="5" spans="1:2" x14ac:dyDescent="0.3">
      <c r="A5">
        <v>3</v>
      </c>
      <c r="B5" t="s">
        <v>6</v>
      </c>
    </row>
    <row r="6" spans="1:2" x14ac:dyDescent="0.3">
      <c r="A6">
        <v>4</v>
      </c>
      <c r="B6" t="s">
        <v>1</v>
      </c>
    </row>
    <row r="7" spans="1:2" x14ac:dyDescent="0.3">
      <c r="A7">
        <v>5</v>
      </c>
      <c r="B7" t="s">
        <v>3</v>
      </c>
    </row>
    <row r="8" spans="1:2" x14ac:dyDescent="0.3">
      <c r="B8" t="s">
        <v>7</v>
      </c>
    </row>
    <row r="9" spans="1:2" x14ac:dyDescent="0.3">
      <c r="A9">
        <v>6</v>
      </c>
      <c r="B9" t="s">
        <v>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12FFC-1BCF-42B8-8B99-B1642A397B6F}">
  <dimension ref="A3:F25"/>
  <sheetViews>
    <sheetView workbookViewId="0">
      <selection activeCell="B15" sqref="B15"/>
    </sheetView>
  </sheetViews>
  <sheetFormatPr defaultRowHeight="14.4" x14ac:dyDescent="0.3"/>
  <cols>
    <col min="2" max="2" width="22.44140625" bestFit="1" customWidth="1"/>
    <col min="3" max="3" width="11.5546875" bestFit="1" customWidth="1"/>
    <col min="4" max="5" width="12.33203125" bestFit="1" customWidth="1"/>
  </cols>
  <sheetData>
    <row r="3" spans="1:6" x14ac:dyDescent="0.3">
      <c r="A3" s="7" t="s">
        <v>41</v>
      </c>
      <c r="B3" s="45" t="s">
        <v>47</v>
      </c>
      <c r="C3" s="45">
        <v>2016</v>
      </c>
      <c r="D3" s="45">
        <v>2017</v>
      </c>
      <c r="E3" s="45">
        <v>2018</v>
      </c>
    </row>
    <row r="4" spans="1:6" x14ac:dyDescent="0.3">
      <c r="A4" s="7" t="s">
        <v>61</v>
      </c>
      <c r="B4" s="9" t="s">
        <v>36</v>
      </c>
      <c r="C4" s="10">
        <v>516823810</v>
      </c>
      <c r="D4" s="10">
        <v>539601552</v>
      </c>
      <c r="E4" s="10">
        <v>5562204889</v>
      </c>
    </row>
    <row r="5" spans="1:6" x14ac:dyDescent="0.3">
      <c r="A5" s="7"/>
      <c r="B5" s="9" t="s">
        <v>38</v>
      </c>
      <c r="C5" s="10">
        <v>778916265</v>
      </c>
      <c r="D5" s="10">
        <v>1031614176</v>
      </c>
      <c r="E5" s="10">
        <v>6494851722</v>
      </c>
    </row>
    <row r="6" spans="1:6" x14ac:dyDescent="0.3">
      <c r="A6" s="7"/>
      <c r="B6" s="9" t="s">
        <v>57</v>
      </c>
      <c r="C6" s="12">
        <f>C4/C5</f>
        <v>0.66351652061085153</v>
      </c>
      <c r="D6" s="12">
        <f t="shared" ref="D6:E6" si="0">D4/D5</f>
        <v>0.5230652743569898</v>
      </c>
      <c r="E6" s="12">
        <f t="shared" si="0"/>
        <v>0.85640213619645122</v>
      </c>
    </row>
    <row r="7" spans="1:6" x14ac:dyDescent="0.3">
      <c r="A7" s="7"/>
      <c r="B7" s="9" t="s">
        <v>37</v>
      </c>
      <c r="C7" s="10">
        <v>675915861</v>
      </c>
      <c r="D7" s="10">
        <v>862853562</v>
      </c>
      <c r="E7" s="10">
        <v>6117009044</v>
      </c>
    </row>
    <row r="8" spans="1:6" x14ac:dyDescent="0.3">
      <c r="A8" s="7"/>
      <c r="B8" s="9" t="s">
        <v>40</v>
      </c>
      <c r="C8" s="10">
        <v>523900298</v>
      </c>
      <c r="D8" s="10">
        <v>871921515</v>
      </c>
      <c r="E8" s="10">
        <v>2863912570</v>
      </c>
      <c r="F8" t="s">
        <v>56</v>
      </c>
    </row>
    <row r="9" spans="1:6" x14ac:dyDescent="0.3">
      <c r="A9" s="7" t="s">
        <v>61</v>
      </c>
      <c r="B9" s="9" t="s">
        <v>55</v>
      </c>
      <c r="C9" s="13">
        <f>C7/C8</f>
        <v>1.2901612455276747</v>
      </c>
      <c r="D9" s="13">
        <f t="shared" ref="D9:E9" si="1">D7/D8</f>
        <v>0.98960003527381701</v>
      </c>
      <c r="E9" s="13">
        <f t="shared" si="1"/>
        <v>2.1358923830555345</v>
      </c>
    </row>
    <row r="10" spans="1:6" x14ac:dyDescent="0.3">
      <c r="A10" s="7"/>
      <c r="B10" s="8" t="s">
        <v>39</v>
      </c>
    </row>
    <row r="11" spans="1:6" x14ac:dyDescent="0.3">
      <c r="A11" s="7"/>
    </row>
    <row r="12" spans="1:6" x14ac:dyDescent="0.3">
      <c r="A12" s="7" t="s">
        <v>41</v>
      </c>
      <c r="B12" s="45" t="s">
        <v>47</v>
      </c>
      <c r="C12" s="45">
        <v>2016</v>
      </c>
      <c r="D12" s="45">
        <v>2017</v>
      </c>
      <c r="E12" s="45">
        <v>2018</v>
      </c>
    </row>
    <row r="13" spans="1:6" x14ac:dyDescent="0.3">
      <c r="A13" s="7" t="s">
        <v>61</v>
      </c>
      <c r="B13" s="9" t="s">
        <v>42</v>
      </c>
      <c r="C13" s="10">
        <v>786841976</v>
      </c>
      <c r="D13" s="10">
        <v>1885717001</v>
      </c>
      <c r="E13" s="10">
        <v>3654383126</v>
      </c>
    </row>
    <row r="14" spans="1:6" x14ac:dyDescent="0.3">
      <c r="A14" s="7"/>
      <c r="B14" s="9" t="s">
        <v>43</v>
      </c>
      <c r="C14" s="11">
        <f>-1155081738</f>
        <v>-1155081738</v>
      </c>
      <c r="D14" s="11">
        <f>-1890368777</f>
        <v>-1890368777</v>
      </c>
      <c r="E14" s="11">
        <f>-3503356228</f>
        <v>-3503356228</v>
      </c>
    </row>
    <row r="15" spans="1:6" x14ac:dyDescent="0.3">
      <c r="A15" s="7"/>
      <c r="B15" s="9" t="s">
        <v>44</v>
      </c>
      <c r="C15" s="10">
        <f>SUM(C13:C14)</f>
        <v>-368239762</v>
      </c>
      <c r="D15" s="10">
        <f t="shared" ref="D15:E15" si="2">SUM(D13:D14)</f>
        <v>-4651776</v>
      </c>
      <c r="E15" s="10">
        <f t="shared" si="2"/>
        <v>151026898</v>
      </c>
    </row>
    <row r="16" spans="1:6" x14ac:dyDescent="0.3">
      <c r="A16" s="7" t="s">
        <v>61</v>
      </c>
      <c r="B16" s="9" t="s">
        <v>45</v>
      </c>
      <c r="C16" s="12">
        <f>C15/C13</f>
        <v>-0.46799709882280099</v>
      </c>
      <c r="D16" s="12">
        <f t="shared" ref="D16:E16" si="3">D15/D13</f>
        <v>-2.4668473570175972E-3</v>
      </c>
      <c r="E16" s="12">
        <f t="shared" si="3"/>
        <v>4.1327603809650469E-2</v>
      </c>
    </row>
    <row r="17" spans="1:5" x14ac:dyDescent="0.3">
      <c r="A17" s="7"/>
      <c r="B17" s="9" t="s">
        <v>46</v>
      </c>
      <c r="C17" s="10">
        <v>-776388308</v>
      </c>
      <c r="D17" s="10">
        <v>-618387515</v>
      </c>
      <c r="E17" s="10">
        <v>-859119990</v>
      </c>
    </row>
    <row r="18" spans="1:5" x14ac:dyDescent="0.3">
      <c r="A18" s="7"/>
      <c r="B18" s="9" t="s">
        <v>51</v>
      </c>
      <c r="C18" s="10">
        <v>6819543</v>
      </c>
      <c r="D18" s="10">
        <v>23167001</v>
      </c>
      <c r="E18" s="10">
        <v>26996910</v>
      </c>
    </row>
    <row r="19" spans="1:5" x14ac:dyDescent="0.3">
      <c r="A19" s="7"/>
      <c r="B19" s="9" t="s">
        <v>52</v>
      </c>
      <c r="C19" s="10">
        <v>244138</v>
      </c>
      <c r="D19" s="10">
        <v>2875712</v>
      </c>
      <c r="E19" s="10">
        <v>18548448</v>
      </c>
    </row>
    <row r="20" spans="1:5" x14ac:dyDescent="0.3">
      <c r="A20" s="7"/>
      <c r="B20" s="9" t="s">
        <v>53</v>
      </c>
      <c r="C20" s="10">
        <f>C17+C18+C19</f>
        <v>-769324627</v>
      </c>
      <c r="D20" s="10">
        <f t="shared" ref="D20:E20" si="4">D17+D18+D19</f>
        <v>-592344802</v>
      </c>
      <c r="E20" s="10">
        <f t="shared" si="4"/>
        <v>-813574632</v>
      </c>
    </row>
    <row r="21" spans="1:5" x14ac:dyDescent="0.3">
      <c r="A21" s="7" t="s">
        <v>61</v>
      </c>
      <c r="B21" s="9" t="s">
        <v>54</v>
      </c>
      <c r="C21" s="12">
        <f>C20/C13</f>
        <v>-0.97773714477073093</v>
      </c>
      <c r="D21" s="12">
        <f t="shared" ref="D21:E21" si="5">D20/D13</f>
        <v>-0.31412179117326627</v>
      </c>
      <c r="E21" s="12">
        <f t="shared" si="5"/>
        <v>-0.22262981300773443</v>
      </c>
    </row>
    <row r="22" spans="1:5" x14ac:dyDescent="0.3">
      <c r="A22" s="7"/>
      <c r="B22" s="9" t="s">
        <v>49</v>
      </c>
      <c r="C22" s="10">
        <v>-782891758</v>
      </c>
      <c r="D22" s="10">
        <v>-612897944</v>
      </c>
      <c r="E22" s="10">
        <v>-876279828</v>
      </c>
    </row>
    <row r="23" spans="1:5" x14ac:dyDescent="0.3">
      <c r="A23" s="7" t="s">
        <v>61</v>
      </c>
      <c r="B23" s="9" t="s">
        <v>50</v>
      </c>
      <c r="C23" s="12">
        <f>C22/C13</f>
        <v>-0.99497965522876475</v>
      </c>
      <c r="D23" s="12">
        <f t="shared" ref="D23:E23" si="6">D22/D13</f>
        <v>-0.32502116896383648</v>
      </c>
      <c r="E23" s="12">
        <f t="shared" si="6"/>
        <v>-0.23978871338516575</v>
      </c>
    </row>
    <row r="25" spans="1:5" x14ac:dyDescent="0.3">
      <c r="B25" s="8" t="s">
        <v>48</v>
      </c>
      <c r="C25" s="4">
        <v>8115160</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Trading Comparables</vt:lpstr>
      <vt:lpstr>Template</vt:lpstr>
      <vt:lpstr>Huya</vt:lpstr>
      <vt:lpstr>Inke</vt:lpstr>
      <vt:lpstr>Links &amp; Details</vt:lpstr>
      <vt:lpstr>YY</vt:lpstr>
      <vt:lpstr>Bilibili</vt:lpstr>
      <vt:lpstr>iQiyi</vt:lpstr>
      <vt:lpstr>DouYu</vt:lpstr>
      <vt:lpstr>Description of Comps</vt:lpstr>
      <vt:lpstr>Financial Metrics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ASUS</cp:lastModifiedBy>
  <dcterms:created xsi:type="dcterms:W3CDTF">2015-06-05T18:17:20Z</dcterms:created>
  <dcterms:modified xsi:type="dcterms:W3CDTF">2019-07-18T04:51:00Z</dcterms:modified>
</cp:coreProperties>
</file>