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DDD5ED41-D08A-4F4E-B7B5-E56754040705}" xr6:coauthVersionLast="43" xr6:coauthVersionMax="43" xr10:uidLastSave="{00000000-0000-0000-0000-000000000000}"/>
  <bookViews>
    <workbookView xWindow="-108" yWindow="-108" windowWidth="23256" windowHeight="12576" tabRatio="885" xr2:uid="{00000000-000D-0000-FFFF-FFFF00000000}"/>
  </bookViews>
  <sheets>
    <sheet name="Cover" sheetId="26" r:id="rId1"/>
    <sheet name="Income Statement" sheetId="1" r:id="rId2"/>
    <sheet name="Balance Sheet" sheetId="4" r:id="rId3"/>
    <sheet name="Cash Flow Statement" sheetId="5" r:id="rId4"/>
    <sheet name="Revenue Build" sheetId="7" r:id="rId5"/>
    <sheet name="Cost Build" sheetId="18" r:id="rId6"/>
    <sheet name="OWC" sheetId="24" r:id="rId7"/>
    <sheet name="Debt Schedule" sheetId="25" r:id="rId8"/>
    <sheet name="PPE Schedule" sheetId="17" r:id="rId9"/>
    <sheet name="Tax Breakdown" sheetId="14" r:id="rId10"/>
    <sheet name="Changes in FV" sheetId="15" r:id="rId11"/>
    <sheet name="Financial Analysis" sheetId="20" r:id="rId12"/>
    <sheet name="Trading Comparables" sheetId="23" r:id="rId13"/>
    <sheet name="DCF Analysis" sheetId="27" r:id="rId14"/>
    <sheet name="Others" sheetId="6" state="hidden" r:id="rId15"/>
  </sheets>
  <externalReferences>
    <externalReference r:id="rId16"/>
  </externalReferences>
  <definedNames>
    <definedName name="_xlnm._FilterDatabase" localSheetId="12" hidden="1">'Trading Comparables'!$B$25:$Q$70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2" i="27" l="1"/>
  <c r="F21" i="27"/>
  <c r="F20" i="27"/>
  <c r="F36" i="27"/>
  <c r="E36" i="27"/>
  <c r="E34" i="27"/>
  <c r="F34" i="27"/>
  <c r="D19" i="24"/>
  <c r="G7" i="27" l="1"/>
  <c r="E29" i="1"/>
  <c r="F29" i="1"/>
  <c r="D29" i="1"/>
  <c r="L23" i="27"/>
  <c r="O23" i="27"/>
  <c r="L24" i="27"/>
  <c r="L26" i="27" l="1"/>
  <c r="F15" i="27" s="1"/>
  <c r="F23" i="27" s="1"/>
  <c r="H19" i="4" l="1"/>
  <c r="I19" i="4" s="1"/>
  <c r="J19" i="4" s="1"/>
  <c r="G19" i="4"/>
  <c r="E9" i="24"/>
  <c r="F9" i="24"/>
  <c r="D9" i="24"/>
  <c r="H11" i="4"/>
  <c r="I11" i="4" s="1"/>
  <c r="J11" i="4" s="1"/>
  <c r="G11" i="4"/>
  <c r="H9" i="4"/>
  <c r="I9" i="4" s="1"/>
  <c r="J9" i="4" s="1"/>
  <c r="G9" i="4"/>
  <c r="F46" i="4" l="1"/>
  <c r="H45" i="4"/>
  <c r="I45" i="4"/>
  <c r="J45" i="4" s="1"/>
  <c r="H43" i="4"/>
  <c r="I43" i="4" s="1"/>
  <c r="J43" i="4" s="1"/>
  <c r="H42" i="4"/>
  <c r="I42" i="4" s="1"/>
  <c r="J42" i="4" s="1"/>
  <c r="H41" i="4"/>
  <c r="I41" i="4"/>
  <c r="J41" i="4"/>
  <c r="H40" i="4"/>
  <c r="I40" i="4" s="1"/>
  <c r="J40" i="4" s="1"/>
  <c r="G40" i="4"/>
  <c r="G41" i="4"/>
  <c r="G42" i="4"/>
  <c r="G43" i="4"/>
  <c r="G45" i="4"/>
  <c r="G20" i="4" l="1"/>
  <c r="H20" i="4" s="1"/>
  <c r="I20" i="4" s="1"/>
  <c r="J20" i="4" s="1"/>
  <c r="G14" i="5" l="1"/>
  <c r="E16" i="25"/>
  <c r="F16" i="25"/>
  <c r="D15" i="25"/>
  <c r="D16" i="25" s="1"/>
  <c r="E15" i="25"/>
  <c r="F15" i="25"/>
  <c r="D14" i="25"/>
  <c r="E14" i="25"/>
  <c r="F14" i="25"/>
  <c r="G6" i="25" s="1"/>
  <c r="E7" i="24"/>
  <c r="F7" i="24"/>
  <c r="E12" i="24"/>
  <c r="F12" i="24"/>
  <c r="E14" i="24"/>
  <c r="F14" i="24"/>
  <c r="E16" i="24"/>
  <c r="F17" i="24" s="1"/>
  <c r="F16" i="24"/>
  <c r="D16" i="24"/>
  <c r="D14" i="24"/>
  <c r="D12" i="24"/>
  <c r="E13" i="24" s="1"/>
  <c r="D7" i="24"/>
  <c r="E5" i="24"/>
  <c r="F5" i="24"/>
  <c r="D5" i="24"/>
  <c r="E6" i="24" s="1"/>
  <c r="E19" i="24" l="1"/>
  <c r="E20" i="24" s="1"/>
  <c r="F19" i="24"/>
  <c r="F20" i="24" s="1"/>
  <c r="E10" i="24"/>
  <c r="F8" i="24"/>
  <c r="E8" i="24"/>
  <c r="G8" i="24" s="1"/>
  <c r="E17" i="24"/>
  <c r="F13" i="24"/>
  <c r="E15" i="24"/>
  <c r="F10" i="24"/>
  <c r="F6" i="24"/>
  <c r="G6" i="24" s="1"/>
  <c r="F15" i="24"/>
  <c r="H13" i="24"/>
  <c r="H17" i="24"/>
  <c r="G10" i="24" l="1"/>
  <c r="G15" i="24"/>
  <c r="H15" i="24"/>
  <c r="H8" i="24"/>
  <c r="G7" i="24"/>
  <c r="H10" i="24"/>
  <c r="H6" i="24"/>
  <c r="I17" i="24"/>
  <c r="I13" i="24"/>
  <c r="G23" i="5" l="1"/>
  <c r="G17" i="4" s="1"/>
  <c r="H17" i="4" s="1"/>
  <c r="I8" i="24"/>
  <c r="H7" i="24"/>
  <c r="H23" i="5" s="1"/>
  <c r="I15" i="24"/>
  <c r="I10" i="24"/>
  <c r="I6" i="24"/>
  <c r="J13" i="24"/>
  <c r="J17" i="24"/>
  <c r="J8" i="24" l="1"/>
  <c r="J7" i="24" s="1"/>
  <c r="I7" i="24"/>
  <c r="I23" i="5" s="1"/>
  <c r="I17" i="4" s="1"/>
  <c r="J10" i="24"/>
  <c r="J15" i="24"/>
  <c r="J6" i="24"/>
  <c r="J23" i="5" l="1"/>
  <c r="J17" i="4" s="1"/>
  <c r="H41" i="17"/>
  <c r="G41" i="17"/>
  <c r="G7" i="7" l="1"/>
  <c r="D58" i="4"/>
  <c r="E58" i="4"/>
  <c r="F58" i="4"/>
  <c r="N6" i="23" l="1"/>
  <c r="N48" i="23"/>
  <c r="E13" i="20"/>
  <c r="F13" i="20"/>
  <c r="D13" i="20"/>
  <c r="D14" i="20" s="1"/>
  <c r="G19" i="20"/>
  <c r="E16" i="20"/>
  <c r="F16" i="20"/>
  <c r="F17" i="20" s="1"/>
  <c r="D16" i="20"/>
  <c r="D17" i="20" s="1"/>
  <c r="E10" i="20"/>
  <c r="E11" i="20" s="1"/>
  <c r="F10" i="20"/>
  <c r="D10" i="20"/>
  <c r="D11" i="20" s="1"/>
  <c r="E9" i="20"/>
  <c r="F9" i="20"/>
  <c r="D9" i="20"/>
  <c r="E7" i="20"/>
  <c r="E14" i="20" s="1"/>
  <c r="F7" i="20"/>
  <c r="F14" i="20" s="1"/>
  <c r="G7" i="20"/>
  <c r="H7" i="20"/>
  <c r="I7" i="20"/>
  <c r="J7" i="20"/>
  <c r="D7" i="20"/>
  <c r="F11" i="20" l="1"/>
  <c r="E17" i="20"/>
  <c r="D46" i="4"/>
  <c r="E46" i="4"/>
  <c r="F8" i="17"/>
  <c r="H58" i="5"/>
  <c r="I58" i="5" s="1"/>
  <c r="J58" i="5" s="1"/>
  <c r="H65" i="5"/>
  <c r="I65" i="5" s="1"/>
  <c r="J65" i="5" s="1"/>
  <c r="D59" i="5"/>
  <c r="E8" i="17"/>
  <c r="D8" i="17"/>
  <c r="F30" i="4"/>
  <c r="F24" i="20" s="1"/>
  <c r="F35" i="4"/>
  <c r="E55" i="4"/>
  <c r="F55" i="4"/>
  <c r="E54" i="4"/>
  <c r="F54" i="4"/>
  <c r="D55" i="4"/>
  <c r="D54" i="4"/>
  <c r="F37" i="4" l="1"/>
  <c r="E7" i="17" l="1"/>
  <c r="F7" i="17"/>
  <c r="D7" i="17"/>
  <c r="H52" i="18"/>
  <c r="I52" i="18" s="1"/>
  <c r="J52" i="18" s="1"/>
  <c r="H50" i="18"/>
  <c r="I50" i="18" s="1"/>
  <c r="J50" i="18" s="1"/>
  <c r="H48" i="18"/>
  <c r="I48" i="18" s="1"/>
  <c r="J48" i="18" s="1"/>
  <c r="H46" i="18"/>
  <c r="I46" i="18" s="1"/>
  <c r="J46" i="18" s="1"/>
  <c r="H44" i="18"/>
  <c r="I44" i="18" s="1"/>
  <c r="J44" i="18" s="1"/>
  <c r="H42" i="18"/>
  <c r="I42" i="18" s="1"/>
  <c r="J42" i="18" s="1"/>
  <c r="H40" i="18"/>
  <c r="I40" i="18" s="1"/>
  <c r="J40" i="18" s="1"/>
  <c r="H38" i="18"/>
  <c r="I38" i="18" s="1"/>
  <c r="J38" i="18" s="1"/>
  <c r="H36" i="18"/>
  <c r="I36" i="18" s="1"/>
  <c r="J36" i="18" s="1"/>
  <c r="H34" i="18"/>
  <c r="I34" i="18" s="1"/>
  <c r="J34" i="18" s="1"/>
  <c r="H32" i="18"/>
  <c r="I32" i="18" s="1"/>
  <c r="J32" i="18" s="1"/>
  <c r="H30" i="18"/>
  <c r="I30" i="18" s="1"/>
  <c r="J30" i="18" s="1"/>
  <c r="H60" i="7"/>
  <c r="I60" i="7"/>
  <c r="J60" i="7"/>
  <c r="G60" i="7"/>
  <c r="F42" i="7"/>
  <c r="F46" i="7" s="1"/>
  <c r="G46" i="7" s="1"/>
  <c r="G39" i="7"/>
  <c r="F25" i="7"/>
  <c r="G25" i="7" s="1"/>
  <c r="F33" i="7"/>
  <c r="F52" i="7" s="1"/>
  <c r="J16" i="1"/>
  <c r="J18" i="5" s="1"/>
  <c r="I16" i="1"/>
  <c r="I18" i="5" s="1"/>
  <c r="H16" i="1"/>
  <c r="H18" i="5" s="1"/>
  <c r="G16" i="1"/>
  <c r="G18" i="5" s="1"/>
  <c r="G34" i="4" s="1"/>
  <c r="H21" i="18"/>
  <c r="I21" i="18"/>
  <c r="J21" i="18"/>
  <c r="G21" i="18"/>
  <c r="F11" i="1"/>
  <c r="F21" i="1" s="1"/>
  <c r="F8" i="5" s="1"/>
  <c r="F21" i="5" s="1"/>
  <c r="F29" i="5" s="1"/>
  <c r="H27" i="1"/>
  <c r="I27" i="1"/>
  <c r="G27" i="1"/>
  <c r="E26" i="18"/>
  <c r="F26" i="18"/>
  <c r="D26" i="18"/>
  <c r="E23" i="18"/>
  <c r="F23" i="18"/>
  <c r="D23" i="18"/>
  <c r="E21" i="18"/>
  <c r="F21" i="18"/>
  <c r="D21" i="18"/>
  <c r="E18" i="18"/>
  <c r="F18" i="18"/>
  <c r="D18" i="18"/>
  <c r="E15" i="18"/>
  <c r="F15" i="18"/>
  <c r="D15" i="18"/>
  <c r="E12" i="18"/>
  <c r="F12" i="18"/>
  <c r="D12" i="18"/>
  <c r="E9" i="18"/>
  <c r="F9" i="18"/>
  <c r="D9" i="18"/>
  <c r="E7" i="18"/>
  <c r="F7" i="18"/>
  <c r="D7" i="18"/>
  <c r="H34" i="4" l="1"/>
  <c r="G35" i="4"/>
  <c r="F24" i="1"/>
  <c r="E19" i="18"/>
  <c r="E43" i="18" s="1"/>
  <c r="F27" i="18"/>
  <c r="F51" i="18" s="1"/>
  <c r="G51" i="18" s="1"/>
  <c r="G27" i="18" s="1"/>
  <c r="F16" i="18"/>
  <c r="F39" i="18" s="1"/>
  <c r="D24" i="18"/>
  <c r="D47" i="18" s="1"/>
  <c r="D10" i="18"/>
  <c r="D31" i="18" s="1"/>
  <c r="F10" i="18"/>
  <c r="F31" i="18" s="1"/>
  <c r="E27" i="18"/>
  <c r="E51" i="18" s="1"/>
  <c r="D19" i="18"/>
  <c r="D43" i="18" s="1"/>
  <c r="D16" i="18"/>
  <c r="D39" i="18" s="1"/>
  <c r="E16" i="18"/>
  <c r="E39" i="18" s="1"/>
  <c r="F24" i="18"/>
  <c r="F47" i="18" s="1"/>
  <c r="E24" i="18"/>
  <c r="E47" i="18" s="1"/>
  <c r="E10" i="18"/>
  <c r="E31" i="18" s="1"/>
  <c r="F19" i="18"/>
  <c r="F43" i="18" s="1"/>
  <c r="D27" i="18"/>
  <c r="D51" i="18" s="1"/>
  <c r="D13" i="18"/>
  <c r="D35" i="18" s="1"/>
  <c r="F13" i="18"/>
  <c r="F35" i="18" s="1"/>
  <c r="E13" i="18"/>
  <c r="E35" i="18" s="1"/>
  <c r="I34" i="4" l="1"/>
  <c r="H35" i="4"/>
  <c r="F63" i="5"/>
  <c r="G43" i="18"/>
  <c r="G19" i="18" s="1"/>
  <c r="H51" i="18"/>
  <c r="I51" i="18" s="1"/>
  <c r="G31" i="18"/>
  <c r="H31" i="18" s="1"/>
  <c r="I31" i="18" s="1"/>
  <c r="G39" i="18"/>
  <c r="G16" i="18" s="1"/>
  <c r="G35" i="18"/>
  <c r="G13" i="18" s="1"/>
  <c r="G47" i="18"/>
  <c r="G24" i="18" s="1"/>
  <c r="J34" i="4" l="1"/>
  <c r="J35" i="4" s="1"/>
  <c r="I35" i="4"/>
  <c r="H39" i="18"/>
  <c r="H10" i="18"/>
  <c r="H43" i="18"/>
  <c r="I43" i="18" s="1"/>
  <c r="G10" i="18"/>
  <c r="H35" i="18"/>
  <c r="I35" i="18" s="1"/>
  <c r="H27" i="18"/>
  <c r="H47" i="18"/>
  <c r="I47" i="18" s="1"/>
  <c r="I39" i="18"/>
  <c r="H16" i="18"/>
  <c r="J51" i="18"/>
  <c r="J27" i="18" s="1"/>
  <c r="I27" i="18"/>
  <c r="J31" i="18"/>
  <c r="J10" i="18" s="1"/>
  <c r="I10" i="18"/>
  <c r="H19" i="18" l="1"/>
  <c r="H13" i="18"/>
  <c r="H24" i="18"/>
  <c r="J43" i="18"/>
  <c r="J19" i="18" s="1"/>
  <c r="I19" i="18"/>
  <c r="J35" i="18"/>
  <c r="J13" i="18" s="1"/>
  <c r="I13" i="18"/>
  <c r="J39" i="18"/>
  <c r="J16" i="18" s="1"/>
  <c r="I16" i="18"/>
  <c r="J47" i="18"/>
  <c r="J24" i="18" s="1"/>
  <c r="I24" i="18"/>
  <c r="E64" i="17" l="1"/>
  <c r="E19" i="20" s="1"/>
  <c r="E20" i="20" s="1"/>
  <c r="E21" i="20" s="1"/>
  <c r="F64" i="17"/>
  <c r="F19" i="20" s="1"/>
  <c r="F20" i="20" s="1"/>
  <c r="F21" i="20" s="1"/>
  <c r="D64" i="17"/>
  <c r="D19" i="20" s="1"/>
  <c r="D20" i="20" s="1"/>
  <c r="D21" i="20" s="1"/>
  <c r="E66" i="17"/>
  <c r="F66" i="17"/>
  <c r="D66" i="17"/>
  <c r="G33" i="17" l="1"/>
  <c r="G36" i="17"/>
  <c r="G35" i="17"/>
  <c r="G55" i="17" s="1"/>
  <c r="H55" i="17" s="1"/>
  <c r="I55" i="17" s="1"/>
  <c r="G34" i="17"/>
  <c r="G48" i="17" l="1"/>
  <c r="H48" i="17" s="1"/>
  <c r="I48" i="17" s="1"/>
  <c r="F9" i="17"/>
  <c r="F28" i="17"/>
  <c r="F30" i="17"/>
  <c r="F15" i="17"/>
  <c r="F12" i="17"/>
  <c r="E16" i="17"/>
  <c r="F24" i="17"/>
  <c r="F29" i="17"/>
  <c r="F27" i="17"/>
  <c r="E30" i="17"/>
  <c r="E29" i="17"/>
  <c r="E28" i="17"/>
  <c r="G28" i="17" s="1"/>
  <c r="E27" i="17"/>
  <c r="E24" i="17"/>
  <c r="D27" i="17"/>
  <c r="D30" i="17"/>
  <c r="D29" i="17"/>
  <c r="D28" i="17"/>
  <c r="D24" i="17"/>
  <c r="D16" i="17"/>
  <c r="E9" i="17"/>
  <c r="D9" i="17"/>
  <c r="G29" i="17" l="1"/>
  <c r="H29" i="17" s="1"/>
  <c r="G30" i="17"/>
  <c r="H30" i="17" s="1"/>
  <c r="E17" i="17"/>
  <c r="F16" i="17"/>
  <c r="F17" i="17" s="1"/>
  <c r="G27" i="17"/>
  <c r="H27" i="17" s="1"/>
  <c r="H28" i="17"/>
  <c r="G64" i="17" l="1"/>
  <c r="I30" i="17"/>
  <c r="I29" i="17"/>
  <c r="I27" i="17"/>
  <c r="I28" i="17"/>
  <c r="J30" i="17"/>
  <c r="J29" i="17" l="1"/>
  <c r="J28" i="17"/>
  <c r="J27" i="17"/>
  <c r="H26" i="15" l="1"/>
  <c r="D10" i="15" s="1"/>
  <c r="E10" i="15" s="1"/>
  <c r="F10" i="15" s="1"/>
  <c r="G26" i="15"/>
  <c r="D7" i="15" s="1"/>
  <c r="E7" i="15" s="1"/>
  <c r="F7" i="15" s="1"/>
  <c r="F18" i="15"/>
  <c r="E18" i="15"/>
  <c r="D18" i="15"/>
  <c r="E12" i="15" l="1"/>
  <c r="E9" i="15"/>
  <c r="G10" i="15"/>
  <c r="F12" i="15"/>
  <c r="G7" i="15"/>
  <c r="F9" i="15"/>
  <c r="F73" i="7"/>
  <c r="F76" i="7" s="1"/>
  <c r="E73" i="7"/>
  <c r="J64" i="7"/>
  <c r="I64" i="7"/>
  <c r="H64" i="7"/>
  <c r="G64" i="7"/>
  <c r="G61" i="7"/>
  <c r="H61" i="7" s="1"/>
  <c r="E68" i="7"/>
  <c r="F68" i="7"/>
  <c r="D68" i="7"/>
  <c r="F67" i="7"/>
  <c r="E67" i="7"/>
  <c r="E64" i="7"/>
  <c r="F64" i="7"/>
  <c r="D64" i="7"/>
  <c r="F62" i="7"/>
  <c r="E62" i="7"/>
  <c r="J72" i="7"/>
  <c r="I72" i="7"/>
  <c r="H72" i="7"/>
  <c r="G72" i="7"/>
  <c r="G69" i="7"/>
  <c r="H69" i="7" s="1"/>
  <c r="I69" i="7" s="1"/>
  <c r="J69" i="7" s="1"/>
  <c r="E13" i="15" l="1"/>
  <c r="F13" i="15"/>
  <c r="H7" i="15"/>
  <c r="H9" i="15" s="1"/>
  <c r="G9" i="15"/>
  <c r="H10" i="15"/>
  <c r="H12" i="15" s="1"/>
  <c r="G12" i="15"/>
  <c r="G67" i="7"/>
  <c r="H67" i="7" s="1"/>
  <c r="I67" i="7" s="1"/>
  <c r="J67" i="7" s="1"/>
  <c r="G63" i="7"/>
  <c r="G65" i="7" s="1"/>
  <c r="I61" i="7"/>
  <c r="H63" i="7"/>
  <c r="H65" i="7" s="1"/>
  <c r="G41" i="7"/>
  <c r="H39" i="7"/>
  <c r="G37" i="7"/>
  <c r="H37" i="7" s="1"/>
  <c r="I37" i="7" s="1"/>
  <c r="J37" i="7" s="1"/>
  <c r="G44" i="7"/>
  <c r="F38" i="7"/>
  <c r="E38" i="7"/>
  <c r="G29" i="7"/>
  <c r="F30" i="7"/>
  <c r="E30" i="7"/>
  <c r="G31" i="7"/>
  <c r="H31" i="7" s="1"/>
  <c r="I31" i="7" s="1"/>
  <c r="J31" i="7" s="1"/>
  <c r="E33" i="7"/>
  <c r="E52" i="7" s="1"/>
  <c r="D33" i="7"/>
  <c r="D52" i="7" s="1"/>
  <c r="H44" i="7" l="1"/>
  <c r="I44" i="7" s="1"/>
  <c r="J44" i="7" s="1"/>
  <c r="G47" i="7"/>
  <c r="H41" i="7"/>
  <c r="I41" i="7" s="1"/>
  <c r="J41" i="7" s="1"/>
  <c r="G42" i="7"/>
  <c r="H29" i="7"/>
  <c r="H28" i="7" s="1"/>
  <c r="G28" i="7"/>
  <c r="G13" i="15"/>
  <c r="H13" i="15"/>
  <c r="G66" i="7"/>
  <c r="G70" i="7" s="1"/>
  <c r="G73" i="7" s="1"/>
  <c r="H66" i="7"/>
  <c r="H70" i="7" s="1"/>
  <c r="H73" i="7" s="1"/>
  <c r="J61" i="7"/>
  <c r="J63" i="7" s="1"/>
  <c r="J65" i="7" s="1"/>
  <c r="J66" i="7" s="1"/>
  <c r="J70" i="7" s="1"/>
  <c r="J73" i="7" s="1"/>
  <c r="I63" i="7"/>
  <c r="I65" i="7" s="1"/>
  <c r="I66" i="7" s="1"/>
  <c r="I70" i="7" s="1"/>
  <c r="I73" i="7" s="1"/>
  <c r="H46" i="7"/>
  <c r="H42" i="7"/>
  <c r="I39" i="7"/>
  <c r="I42" i="7" s="1"/>
  <c r="G24" i="7"/>
  <c r="G33" i="7" s="1"/>
  <c r="H25" i="7"/>
  <c r="I25" i="7" s="1"/>
  <c r="J25" i="7" s="1"/>
  <c r="F10" i="7"/>
  <c r="E10" i="7"/>
  <c r="D10" i="7"/>
  <c r="G49" i="7" l="1"/>
  <c r="G50" i="7" s="1"/>
  <c r="I29" i="7"/>
  <c r="I28" i="7" s="1"/>
  <c r="E11" i="7"/>
  <c r="J76" i="7"/>
  <c r="J8" i="7"/>
  <c r="H76" i="7"/>
  <c r="H8" i="7"/>
  <c r="F11" i="7"/>
  <c r="I76" i="7"/>
  <c r="I8" i="7"/>
  <c r="G76" i="7"/>
  <c r="G8" i="7"/>
  <c r="H47" i="7"/>
  <c r="H49" i="7" s="1"/>
  <c r="H50" i="7" s="1"/>
  <c r="I46" i="7"/>
  <c r="J39" i="7"/>
  <c r="H24" i="7"/>
  <c r="F54" i="5"/>
  <c r="E56" i="5"/>
  <c r="E45" i="5"/>
  <c r="F45" i="5"/>
  <c r="D45" i="5"/>
  <c r="E35" i="4"/>
  <c r="D35" i="4"/>
  <c r="E30" i="4"/>
  <c r="E24" i="20" s="1"/>
  <c r="D30" i="4"/>
  <c r="D24" i="20" s="1"/>
  <c r="F22" i="4"/>
  <c r="F23" i="20" s="1"/>
  <c r="F25" i="20" s="1"/>
  <c r="E22" i="4"/>
  <c r="E23" i="20" s="1"/>
  <c r="D22" i="4"/>
  <c r="D23" i="20" s="1"/>
  <c r="D25" i="20" s="1"/>
  <c r="E13" i="4"/>
  <c r="F13" i="4"/>
  <c r="D13" i="4"/>
  <c r="E25" i="20" l="1"/>
  <c r="E37" i="4"/>
  <c r="F24" i="4"/>
  <c r="E24" i="4"/>
  <c r="D24" i="4"/>
  <c r="D37" i="4"/>
  <c r="G52" i="7"/>
  <c r="G10" i="7" s="1"/>
  <c r="J29" i="7"/>
  <c r="J28" i="7" s="1"/>
  <c r="I47" i="7"/>
  <c r="I49" i="7" s="1"/>
  <c r="I50" i="7" s="1"/>
  <c r="J46" i="7"/>
  <c r="J47" i="7" s="1"/>
  <c r="J42" i="7"/>
  <c r="H33" i="7"/>
  <c r="H52" i="7" s="1"/>
  <c r="H7" i="7" s="1"/>
  <c r="I24" i="7"/>
  <c r="E11" i="1"/>
  <c r="E21" i="1" s="1"/>
  <c r="E8" i="5" s="1"/>
  <c r="E21" i="5" s="1"/>
  <c r="E29" i="5" s="1"/>
  <c r="E34" i="5" s="1"/>
  <c r="E57" i="5" s="1"/>
  <c r="E59" i="5" s="1"/>
  <c r="F56" i="5" s="1"/>
  <c r="F34" i="5" s="1"/>
  <c r="D11" i="1"/>
  <c r="D21" i="1" s="1"/>
  <c r="D8" i="5" s="1"/>
  <c r="D21" i="5" s="1"/>
  <c r="D29" i="5" s="1"/>
  <c r="D34" i="5" s="1"/>
  <c r="D57" i="5" s="1"/>
  <c r="F48" i="4" l="1"/>
  <c r="F50" i="4"/>
  <c r="D50" i="4"/>
  <c r="E48" i="4"/>
  <c r="E50" i="4"/>
  <c r="D48" i="4"/>
  <c r="F57" i="5"/>
  <c r="G56" i="5" s="1"/>
  <c r="G7" i="1"/>
  <c r="J49" i="7"/>
  <c r="J50" i="7" s="1"/>
  <c r="G11" i="7"/>
  <c r="E27" i="1"/>
  <c r="D27" i="1"/>
  <c r="F27" i="1"/>
  <c r="D24" i="1"/>
  <c r="E24" i="1"/>
  <c r="G53" i="7"/>
  <c r="H10" i="7"/>
  <c r="J24" i="7"/>
  <c r="J33" i="7" s="1"/>
  <c r="J52" i="7" s="1"/>
  <c r="J7" i="7" s="1"/>
  <c r="I33" i="7"/>
  <c r="I52" i="7" s="1"/>
  <c r="I7" i="7" s="1"/>
  <c r="E63" i="5" l="1"/>
  <c r="G7" i="18"/>
  <c r="G23" i="18" s="1"/>
  <c r="G18" i="1" s="1"/>
  <c r="G54" i="4"/>
  <c r="G7" i="17"/>
  <c r="D63" i="5"/>
  <c r="H11" i="7"/>
  <c r="H7" i="1"/>
  <c r="G15" i="18"/>
  <c r="G14" i="1" s="1"/>
  <c r="G9" i="18"/>
  <c r="G10" i="1" s="1"/>
  <c r="G26" i="18"/>
  <c r="G19" i="1" s="1"/>
  <c r="H53" i="7"/>
  <c r="I53" i="7"/>
  <c r="I10" i="7"/>
  <c r="G16" i="24" l="1"/>
  <c r="G28" i="5" s="1"/>
  <c r="G28" i="4" s="1"/>
  <c r="G12" i="24"/>
  <c r="G26" i="5" s="1"/>
  <c r="G27" i="4" s="1"/>
  <c r="G5" i="24"/>
  <c r="G9" i="20"/>
  <c r="G18" i="18"/>
  <c r="G15" i="1" s="1"/>
  <c r="G14" i="24" s="1"/>
  <c r="G27" i="5" s="1"/>
  <c r="G29" i="4" s="1"/>
  <c r="G12" i="18"/>
  <c r="G17" i="1" s="1"/>
  <c r="G11" i="1"/>
  <c r="G10" i="20" s="1"/>
  <c r="G11" i="20" s="1"/>
  <c r="G55" i="4"/>
  <c r="G23" i="17"/>
  <c r="G15" i="17" s="1"/>
  <c r="G21" i="17"/>
  <c r="G22" i="17"/>
  <c r="G20" i="17"/>
  <c r="G12" i="17" s="1"/>
  <c r="H7" i="18"/>
  <c r="H26" i="18" s="1"/>
  <c r="H19" i="1" s="1"/>
  <c r="H54" i="4"/>
  <c r="H7" i="17"/>
  <c r="J10" i="7"/>
  <c r="J7" i="1" s="1"/>
  <c r="G21" i="1"/>
  <c r="I7" i="1"/>
  <c r="I11" i="7"/>
  <c r="J53" i="7"/>
  <c r="G29" i="1" l="1"/>
  <c r="G6" i="27" s="1"/>
  <c r="G22" i="1"/>
  <c r="G13" i="20"/>
  <c r="G14" i="20" s="1"/>
  <c r="G20" i="20"/>
  <c r="G21" i="20" s="1"/>
  <c r="H9" i="18"/>
  <c r="H10" i="1" s="1"/>
  <c r="H55" i="4" s="1"/>
  <c r="H12" i="18"/>
  <c r="H17" i="1" s="1"/>
  <c r="H18" i="18"/>
  <c r="H15" i="1" s="1"/>
  <c r="G25" i="5"/>
  <c r="G16" i="4" s="1"/>
  <c r="H15" i="18"/>
  <c r="H14" i="1" s="1"/>
  <c r="G9" i="24"/>
  <c r="G24" i="5" s="1"/>
  <c r="G18" i="4" s="1"/>
  <c r="H23" i="18"/>
  <c r="H18" i="1" s="1"/>
  <c r="I7" i="18"/>
  <c r="I23" i="18" s="1"/>
  <c r="I18" i="1" s="1"/>
  <c r="I54" i="4"/>
  <c r="I7" i="17"/>
  <c r="G24" i="1"/>
  <c r="G8" i="5"/>
  <c r="G24" i="17"/>
  <c r="H42" i="17"/>
  <c r="H23" i="17"/>
  <c r="H15" i="17" s="1"/>
  <c r="H22" i="17"/>
  <c r="I57" i="17" s="1"/>
  <c r="J57" i="17" s="1"/>
  <c r="H20" i="17"/>
  <c r="H21" i="17"/>
  <c r="I50" i="17" s="1"/>
  <c r="J50" i="17" s="1"/>
  <c r="J7" i="18"/>
  <c r="J12" i="18" s="1"/>
  <c r="J17" i="1" s="1"/>
  <c r="J54" i="4"/>
  <c r="J7" i="17"/>
  <c r="G14" i="17"/>
  <c r="H56" i="17"/>
  <c r="I56" i="17" s="1"/>
  <c r="J56" i="17" s="1"/>
  <c r="G13" i="17"/>
  <c r="H13" i="17" s="1"/>
  <c r="H49" i="17"/>
  <c r="I49" i="17" s="1"/>
  <c r="J49" i="17" s="1"/>
  <c r="J11" i="7"/>
  <c r="J9" i="18"/>
  <c r="J10" i="1" s="1"/>
  <c r="I18" i="18"/>
  <c r="I15" i="1" s="1"/>
  <c r="I9" i="18"/>
  <c r="I10" i="1" s="1"/>
  <c r="I12" i="18" l="1"/>
  <c r="I17" i="1" s="1"/>
  <c r="I26" i="18"/>
  <c r="I19" i="1" s="1"/>
  <c r="H9" i="24"/>
  <c r="H24" i="5" s="1"/>
  <c r="H18" i="4" s="1"/>
  <c r="H14" i="24"/>
  <c r="H27" i="5" s="1"/>
  <c r="H29" i="4" s="1"/>
  <c r="I12" i="24"/>
  <c r="I16" i="24"/>
  <c r="I28" i="5" s="1"/>
  <c r="I5" i="24"/>
  <c r="I9" i="20"/>
  <c r="G58" i="4"/>
  <c r="G59" i="4" s="1"/>
  <c r="G16" i="20"/>
  <c r="G17" i="20" s="1"/>
  <c r="G19" i="24"/>
  <c r="G20" i="24" s="1"/>
  <c r="G8" i="27" s="1"/>
  <c r="G10" i="27"/>
  <c r="G32" i="5"/>
  <c r="H16" i="24"/>
  <c r="H28" i="5" s="1"/>
  <c r="H28" i="4" s="1"/>
  <c r="H12" i="24"/>
  <c r="H26" i="5" s="1"/>
  <c r="H27" i="4" s="1"/>
  <c r="H5" i="24"/>
  <c r="H9" i="20"/>
  <c r="J12" i="24"/>
  <c r="J16" i="24"/>
  <c r="J5" i="24"/>
  <c r="J9" i="20"/>
  <c r="I15" i="18"/>
  <c r="I14" i="1" s="1"/>
  <c r="H11" i="1"/>
  <c r="J15" i="18"/>
  <c r="J14" i="1" s="1"/>
  <c r="H64" i="17"/>
  <c r="I42" i="17"/>
  <c r="J11" i="1"/>
  <c r="J10" i="20" s="1"/>
  <c r="J11" i="20" s="1"/>
  <c r="J55" i="4"/>
  <c r="G8" i="17"/>
  <c r="G38" i="5"/>
  <c r="G66" i="17"/>
  <c r="I11" i="1"/>
  <c r="I55" i="4"/>
  <c r="G30" i="4"/>
  <c r="I43" i="17"/>
  <c r="J43" i="17" s="1"/>
  <c r="H24" i="17"/>
  <c r="J18" i="18"/>
  <c r="J15" i="1" s="1"/>
  <c r="G63" i="5"/>
  <c r="G50" i="5" s="1"/>
  <c r="G54" i="5" s="1"/>
  <c r="J26" i="18"/>
  <c r="J19" i="1" s="1"/>
  <c r="I23" i="17"/>
  <c r="I15" i="17" s="1"/>
  <c r="I20" i="17"/>
  <c r="I22" i="17"/>
  <c r="J58" i="17" s="1"/>
  <c r="I21" i="17"/>
  <c r="G16" i="17"/>
  <c r="G17" i="17" s="1"/>
  <c r="H12" i="17"/>
  <c r="I13" i="17"/>
  <c r="H14" i="17"/>
  <c r="J23" i="18"/>
  <c r="J18" i="1" s="1"/>
  <c r="J23" i="17"/>
  <c r="J22" i="17"/>
  <c r="J21" i="17"/>
  <c r="J20" i="17"/>
  <c r="G11" i="27" l="1"/>
  <c r="G15" i="27" s="1"/>
  <c r="I27" i="4"/>
  <c r="I26" i="5"/>
  <c r="I25" i="5"/>
  <c r="I16" i="4" s="1"/>
  <c r="G9" i="17"/>
  <c r="G9" i="27"/>
  <c r="J28" i="5"/>
  <c r="G45" i="5"/>
  <c r="G8" i="4"/>
  <c r="H7" i="27"/>
  <c r="H14" i="5"/>
  <c r="H19" i="20"/>
  <c r="H21" i="1"/>
  <c r="H10" i="20"/>
  <c r="H11" i="20" s="1"/>
  <c r="I14" i="24"/>
  <c r="I27" i="5" s="1"/>
  <c r="I29" i="4" s="1"/>
  <c r="I9" i="24"/>
  <c r="I24" i="5" s="1"/>
  <c r="I18" i="4" s="1"/>
  <c r="J18" i="4" s="1"/>
  <c r="J25" i="5"/>
  <c r="I64" i="17"/>
  <c r="J26" i="5"/>
  <c r="J9" i="24"/>
  <c r="J24" i="5" s="1"/>
  <c r="J14" i="24"/>
  <c r="I28" i="4"/>
  <c r="J28" i="4" s="1"/>
  <c r="I21" i="1"/>
  <c r="I10" i="20"/>
  <c r="I11" i="20" s="1"/>
  <c r="H25" i="5"/>
  <c r="H16" i="4" s="1"/>
  <c r="H19" i="24"/>
  <c r="H20" i="24" s="1"/>
  <c r="H8" i="27" s="1"/>
  <c r="G37" i="4"/>
  <c r="G24" i="20"/>
  <c r="J21" i="1"/>
  <c r="J15" i="17"/>
  <c r="I14" i="17"/>
  <c r="J14" i="17" s="1"/>
  <c r="I22" i="1"/>
  <c r="I8" i="5"/>
  <c r="H30" i="4"/>
  <c r="H66" i="17"/>
  <c r="G13" i="4"/>
  <c r="J24" i="17"/>
  <c r="H8" i="17"/>
  <c r="H38" i="5"/>
  <c r="H45" i="5" s="1"/>
  <c r="J51" i="17"/>
  <c r="J13" i="17"/>
  <c r="J44" i="17"/>
  <c r="J64" i="17" s="1"/>
  <c r="I24" i="17"/>
  <c r="I12" i="17"/>
  <c r="H16" i="17"/>
  <c r="H17" i="17" s="1"/>
  <c r="J29" i="1" l="1"/>
  <c r="J6" i="27" s="1"/>
  <c r="J13" i="20"/>
  <c r="J14" i="20" s="1"/>
  <c r="H20" i="20"/>
  <c r="H21" i="20" s="1"/>
  <c r="I19" i="24"/>
  <c r="I20" i="24" s="1"/>
  <c r="I8" i="27" s="1"/>
  <c r="J8" i="5"/>
  <c r="I7" i="27"/>
  <c r="I14" i="5"/>
  <c r="I19" i="20"/>
  <c r="I20" i="20" s="1"/>
  <c r="I21" i="20" s="1"/>
  <c r="J7" i="27"/>
  <c r="J14" i="5"/>
  <c r="J19" i="20"/>
  <c r="J20" i="20" s="1"/>
  <c r="J21" i="20" s="1"/>
  <c r="H9" i="17"/>
  <c r="H9" i="27"/>
  <c r="J16" i="4"/>
  <c r="J29" i="4"/>
  <c r="I24" i="1"/>
  <c r="I63" i="5" s="1"/>
  <c r="I10" i="27"/>
  <c r="I32" i="5"/>
  <c r="H8" i="4"/>
  <c r="J27" i="4"/>
  <c r="J30" i="4" s="1"/>
  <c r="J27" i="5"/>
  <c r="H8" i="5"/>
  <c r="H29" i="1"/>
  <c r="H6" i="27" s="1"/>
  <c r="H13" i="20"/>
  <c r="H14" i="20" s="1"/>
  <c r="H22" i="1"/>
  <c r="J22" i="1"/>
  <c r="J19" i="24"/>
  <c r="J20" i="24" s="1"/>
  <c r="J8" i="27" s="1"/>
  <c r="I29" i="1"/>
  <c r="I6" i="27" s="1"/>
  <c r="I13" i="20"/>
  <c r="I14" i="20" s="1"/>
  <c r="H37" i="4"/>
  <c r="H24" i="20"/>
  <c r="I30" i="4"/>
  <c r="I8" i="17"/>
  <c r="I38" i="5"/>
  <c r="I45" i="5" s="1"/>
  <c r="H13" i="4"/>
  <c r="I66" i="17"/>
  <c r="J12" i="17"/>
  <c r="J16" i="17" s="1"/>
  <c r="I16" i="17"/>
  <c r="I17" i="17" s="1"/>
  <c r="J8" i="17"/>
  <c r="J38" i="5"/>
  <c r="J45" i="5" s="1"/>
  <c r="I50" i="5" l="1"/>
  <c r="I54" i="5" s="1"/>
  <c r="I9" i="17"/>
  <c r="I9" i="27"/>
  <c r="I11" i="27" s="1"/>
  <c r="I15" i="27" s="1"/>
  <c r="J24" i="1"/>
  <c r="J10" i="27"/>
  <c r="J32" i="5"/>
  <c r="I58" i="4"/>
  <c r="I59" i="4" s="1"/>
  <c r="I16" i="20"/>
  <c r="I17" i="20" s="1"/>
  <c r="J9" i="17"/>
  <c r="J9" i="27"/>
  <c r="J11" i="27" s="1"/>
  <c r="J15" i="27" s="1"/>
  <c r="I8" i="4"/>
  <c r="J8" i="4" s="1"/>
  <c r="H24" i="1"/>
  <c r="H10" i="27"/>
  <c r="H11" i="27" s="1"/>
  <c r="H15" i="27" s="1"/>
  <c r="H32" i="5"/>
  <c r="E32" i="27"/>
  <c r="I37" i="4"/>
  <c r="I24" i="20"/>
  <c r="J37" i="4"/>
  <c r="J24" i="20"/>
  <c r="I13" i="4"/>
  <c r="J66" i="17"/>
  <c r="J17" i="17"/>
  <c r="G16" i="27" l="1"/>
  <c r="F31" i="27" s="1"/>
  <c r="F25" i="27"/>
  <c r="F27" i="27" s="1"/>
  <c r="F28" i="27" s="1"/>
  <c r="F32" i="27" s="1"/>
  <c r="J58" i="4"/>
  <c r="J59" i="4" s="1"/>
  <c r="J16" i="20"/>
  <c r="J17" i="20" s="1"/>
  <c r="J63" i="5"/>
  <c r="H58" i="4"/>
  <c r="H59" i="4" s="1"/>
  <c r="H16" i="20"/>
  <c r="H17" i="20" s="1"/>
  <c r="H63" i="5"/>
  <c r="J13" i="4"/>
  <c r="E31" i="27" l="1"/>
  <c r="E33" i="27" s="1"/>
  <c r="E35" i="27" s="1"/>
  <c r="E37" i="27" s="1"/>
  <c r="C21" i="26" s="1"/>
  <c r="F33" i="27"/>
  <c r="F35" i="27" s="1"/>
  <c r="F37" i="27" s="1"/>
  <c r="J50" i="5"/>
  <c r="J54" i="5" s="1"/>
  <c r="H50" i="5"/>
  <c r="H54" i="5" s="1"/>
  <c r="G21" i="4"/>
  <c r="H21" i="4"/>
  <c r="I21" i="4"/>
  <c r="J21" i="4"/>
  <c r="G22" i="4"/>
  <c r="H22" i="4"/>
  <c r="I22" i="4"/>
  <c r="J22" i="4"/>
  <c r="G24" i="4"/>
  <c r="H24" i="4"/>
  <c r="I24" i="4"/>
  <c r="J24" i="4"/>
  <c r="G44" i="4"/>
  <c r="H44" i="4"/>
  <c r="I44" i="4"/>
  <c r="J44" i="4"/>
  <c r="G46" i="4"/>
  <c r="H46" i="4"/>
  <c r="I46" i="4"/>
  <c r="J46" i="4"/>
  <c r="G48" i="4"/>
  <c r="H48" i="4"/>
  <c r="I48" i="4"/>
  <c r="J48" i="4"/>
  <c r="G50" i="4"/>
  <c r="H50" i="4"/>
  <c r="I50" i="4"/>
  <c r="J50" i="4"/>
  <c r="G10" i="5"/>
  <c r="H10" i="5"/>
  <c r="I10" i="5"/>
  <c r="J10" i="5"/>
  <c r="G21" i="5"/>
  <c r="H21" i="5"/>
  <c r="I21" i="5"/>
  <c r="J21" i="5"/>
  <c r="G29" i="5"/>
  <c r="H29" i="5"/>
  <c r="I29" i="5"/>
  <c r="J29" i="5"/>
  <c r="G31" i="5"/>
  <c r="H31" i="5"/>
  <c r="I31" i="5"/>
  <c r="J31" i="5"/>
  <c r="G34" i="5"/>
  <c r="H34" i="5"/>
  <c r="I34" i="5"/>
  <c r="J34" i="5"/>
  <c r="H56" i="5"/>
  <c r="I56" i="5"/>
  <c r="J56" i="5"/>
  <c r="G57" i="5"/>
  <c r="H57" i="5"/>
  <c r="I57" i="5"/>
  <c r="J57" i="5"/>
  <c r="G59" i="5"/>
  <c r="H59" i="5"/>
  <c r="I59" i="5"/>
  <c r="J59" i="5"/>
  <c r="H6" i="25"/>
  <c r="I6" i="25"/>
  <c r="J6" i="25"/>
  <c r="G7" i="25"/>
  <c r="H7" i="25"/>
  <c r="I7" i="25"/>
  <c r="J7" i="25"/>
  <c r="G8" i="25"/>
  <c r="H8" i="25"/>
  <c r="I8" i="25"/>
  <c r="J8" i="25"/>
  <c r="G14" i="25"/>
  <c r="H14" i="25"/>
  <c r="I14" i="25"/>
  <c r="J14" i="25"/>
  <c r="G15" i="25"/>
  <c r="H15" i="25"/>
  <c r="I15" i="25"/>
  <c r="J15" i="25"/>
  <c r="G23" i="20"/>
  <c r="H23" i="20"/>
  <c r="I23" i="20"/>
  <c r="J23" i="20"/>
  <c r="G25" i="20"/>
  <c r="H25" i="20"/>
  <c r="I25" i="20"/>
  <c r="J25" i="20"/>
</calcChain>
</file>

<file path=xl/sharedStrings.xml><?xml version="1.0" encoding="utf-8"?>
<sst xmlns="http://schemas.openxmlformats.org/spreadsheetml/2006/main" count="1158" uniqueCount="667">
  <si>
    <t>Revenue</t>
  </si>
  <si>
    <t>Cost of Sales</t>
  </si>
  <si>
    <t>Gross Profit</t>
  </si>
  <si>
    <t>Other income and gains</t>
  </si>
  <si>
    <t>Selling &amp; distribution expenses</t>
  </si>
  <si>
    <t>Other expenses</t>
  </si>
  <si>
    <t>Finance Costs</t>
  </si>
  <si>
    <t>Profit before tax</t>
  </si>
  <si>
    <t>User management SaaS platform business</t>
  </si>
  <si>
    <t>Interactive advertising business</t>
  </si>
  <si>
    <t>Others</t>
  </si>
  <si>
    <t>Total</t>
  </si>
  <si>
    <t>Description</t>
  </si>
  <si>
    <r>
      <t xml:space="preserve">(ii) the </t>
    </r>
    <r>
      <rPr>
        <u/>
        <sz val="11"/>
        <color theme="1"/>
        <rFont val="Calibri"/>
        <family val="2"/>
        <scheme val="minor"/>
      </rPr>
      <t>service charge</t>
    </r>
    <r>
      <rPr>
        <sz val="11"/>
        <color theme="1"/>
        <rFont val="Calibri"/>
        <family val="2"/>
        <scheme val="minor"/>
      </rPr>
      <t xml:space="preserve"> we received for sourcing mobile phone payment credits and for sourcing e-wallet cash rewards</t>
    </r>
  </si>
  <si>
    <r>
      <t xml:space="preserve">(i) the </t>
    </r>
    <r>
      <rPr>
        <u/>
        <sz val="11"/>
        <color theme="1"/>
        <rFont val="Calibri"/>
        <family val="2"/>
        <scheme val="minor"/>
      </rPr>
      <t>sale of merchandise</t>
    </r>
    <r>
      <rPr>
        <sz val="11"/>
        <color theme="1"/>
        <rFont val="Calibri"/>
        <family val="2"/>
        <scheme val="minor"/>
      </rPr>
      <t xml:space="preserve"> we sourced from third party vendors to our customers</t>
    </r>
  </si>
  <si>
    <t>primarily included fees charged for the
advertising services and solutions we provided</t>
  </si>
  <si>
    <t>Procurement getting stagnant</t>
  </si>
  <si>
    <t>It says that SG&amp;A includes the Depreciation</t>
  </si>
  <si>
    <t>Non Current Assets</t>
  </si>
  <si>
    <t>Property, plant and equipment</t>
  </si>
  <si>
    <t>Intangible assets</t>
  </si>
  <si>
    <t>Deferred tax assets</t>
  </si>
  <si>
    <t>Prepayments, deposits and other receivables</t>
  </si>
  <si>
    <t>Advance payments for PPE</t>
  </si>
  <si>
    <t>Total non-current assets</t>
  </si>
  <si>
    <t>Current Assets</t>
  </si>
  <si>
    <t>Inventories</t>
  </si>
  <si>
    <t>Trade receivables</t>
  </si>
  <si>
    <t>Financial assets at fair value through profit or loss</t>
  </si>
  <si>
    <t>Due from a director</t>
  </si>
  <si>
    <t>Cash and cash equivalents</t>
  </si>
  <si>
    <t>Total current assets</t>
  </si>
  <si>
    <t>Notes</t>
  </si>
  <si>
    <t>Current Liabilities</t>
  </si>
  <si>
    <t>Trade payables</t>
  </si>
  <si>
    <t>Advances from customers, other payables and accruals</t>
  </si>
  <si>
    <t>Contract liabilities</t>
  </si>
  <si>
    <t>Total current liabilities</t>
  </si>
  <si>
    <t>Non-Current Liabilities</t>
  </si>
  <si>
    <t>Deferred tax liabilities</t>
  </si>
  <si>
    <t>Financial liabilities at fair value through profit or loss</t>
  </si>
  <si>
    <t>Total non-current liabilities</t>
  </si>
  <si>
    <t>Equity</t>
  </si>
  <si>
    <t>Total Assets</t>
  </si>
  <si>
    <t>Total Liabilities</t>
  </si>
  <si>
    <t>RMB '000</t>
  </si>
  <si>
    <t>Year ended 31 December</t>
  </si>
  <si>
    <t>Proceeds from disposal of items of PPE</t>
  </si>
  <si>
    <t>Purchases of items for PPE</t>
  </si>
  <si>
    <t>Purchases of financial assets at fair value through profit or loss</t>
  </si>
  <si>
    <t>Proceeds from disposal of financial assets at fair value through profit or loss</t>
  </si>
  <si>
    <t>Acquisition of equity interests in subsidiaries from the then shareholders .</t>
  </si>
  <si>
    <t>Advances to a director</t>
  </si>
  <si>
    <t>Repayment of advances to a director</t>
  </si>
  <si>
    <t>Purchases of intangible assets</t>
  </si>
  <si>
    <t>Net cash flows used in investing activities</t>
  </si>
  <si>
    <t>CASH FLOWS FROM FINANCING ACTIVITIES</t>
  </si>
  <si>
    <t>Net increase in cash and cash equivalents</t>
  </si>
  <si>
    <t>Net foreign exchange difference</t>
  </si>
  <si>
    <t>Cash and cash equivalents at beginning of year</t>
  </si>
  <si>
    <t>Cash and cash equivalents at end of year</t>
  </si>
  <si>
    <t>CASH FLOWS FROM INVESTING ACTIVITIES</t>
  </si>
  <si>
    <t>CASH FLOWS FROM OPERATING ACTIVITIES</t>
  </si>
  <si>
    <t>Profit/(loss) before tax</t>
  </si>
  <si>
    <t>Adjustments for:</t>
  </si>
  <si>
    <t>Bank interest income</t>
  </si>
  <si>
    <t>Investment income from financial assets at fair value through profit or loss</t>
  </si>
  <si>
    <t>Foreign exchange gains, net</t>
  </si>
  <si>
    <t>Loss on disposal of items of property, plant and equipment</t>
  </si>
  <si>
    <t>Depreciation of property, plant and equipment</t>
  </si>
  <si>
    <t>Changes in fair value of financial assets at fair value through profit or loss</t>
  </si>
  <si>
    <t>Amortisation of intangible assets</t>
  </si>
  <si>
    <t>Finance costs</t>
  </si>
  <si>
    <t>Changes in fair value of financial liabilities at fair value through profit or loss</t>
  </si>
  <si>
    <t>Equity-settled share award expense</t>
  </si>
  <si>
    <t>Impairment of trade receivables arising from contracts with customers</t>
  </si>
  <si>
    <t>Increase in trade receivables</t>
  </si>
  <si>
    <t>Increase in prepayments, deposits and other receivables</t>
  </si>
  <si>
    <t>Decrease/(increase) in inventories</t>
  </si>
  <si>
    <t>Increase/(decrease) in trade payables</t>
  </si>
  <si>
    <t>Increase/(decrease) in contract liabilities</t>
  </si>
  <si>
    <t>Increase/(decrease) in advances from customers, other payables and accruals</t>
  </si>
  <si>
    <t>Cash generated from operations</t>
  </si>
  <si>
    <t>Interest received</t>
  </si>
  <si>
    <t>Tax refund</t>
  </si>
  <si>
    <t>Income tax paid</t>
  </si>
  <si>
    <t>Profit/(loss) before tax After adjustments</t>
  </si>
  <si>
    <t>Net cash flows from/(used in) Operating Activities</t>
  </si>
  <si>
    <t>Proceeds from financial liabilities at fair value through profit or loss</t>
  </si>
  <si>
    <t>Dividends paid to the then shareholders.</t>
  </si>
  <si>
    <t>Dividends paid to preferred shareholders</t>
  </si>
  <si>
    <t>Proceeds from issue of shares</t>
  </si>
  <si>
    <t>Repurchase of preferred shares</t>
  </si>
  <si>
    <t>Repurchase of shares</t>
  </si>
  <si>
    <t>Net cash flows from financing activities</t>
  </si>
  <si>
    <t>Other Income includes bank interest, government grants and foreign exchange + gains from investment of financial assets</t>
  </si>
  <si>
    <t>Blue: Hard-coded numbers</t>
  </si>
  <si>
    <t>Blue with highlight: Assumptions</t>
  </si>
  <si>
    <t>Black: Excel formula</t>
  </si>
  <si>
    <t>Green: Linked items from other worksheets</t>
  </si>
  <si>
    <t>we launched the oCPC optimized bidding system which can automatically identify suitable content distribution channels for specific advertising content.</t>
  </si>
  <si>
    <t>The system helps advertisers to improve the efficiency in the placement of advertising through our automated recommendation of content distribution channels</t>
  </si>
  <si>
    <t xml:space="preserve"> Specifically, the system automatically adjusts the bidding price per click for a particular advertising space in accordance with the effectiveness of conversion for that advertising space.</t>
  </si>
  <si>
    <t>optimized cost per click, a bid optimizing strategy which automatically adjusts advertisers’ bid to achieve finer matching of bid and traffic quality of page view request granularity</t>
  </si>
  <si>
    <t>Average revenue per chargeable click under the CPC model (RMB)</t>
  </si>
  <si>
    <t>Number of chargeable clicks under the CPC model (millions)</t>
  </si>
  <si>
    <t>Others (in thousands of RMB)</t>
  </si>
  <si>
    <t>MAUs (millions)</t>
  </si>
  <si>
    <t>Advertising page views (millions)</t>
  </si>
  <si>
    <t>Number of chargeable clicks (millions)</t>
  </si>
  <si>
    <t>Many of these were discontinued, the app they created is still running.</t>
  </si>
  <si>
    <t>Revenue from sales of goods</t>
  </si>
  <si>
    <t>Page 149 *** very important to read</t>
  </si>
  <si>
    <t>Perhaps this line is not as profitable, since almost 30-40% are based on procuremetn services fees which are</t>
  </si>
  <si>
    <t>2019F</t>
  </si>
  <si>
    <t>2020F</t>
  </si>
  <si>
    <t>2021F</t>
  </si>
  <si>
    <t>2022F</t>
  </si>
  <si>
    <t>barely increasing, even decreasing!</t>
  </si>
  <si>
    <t>Remains relatively constant. This is the Price</t>
  </si>
  <si>
    <t>Click-through rate (no of chargeable clicks/advertising page views)</t>
  </si>
  <si>
    <t>Growth Rate</t>
  </si>
  <si>
    <t>* Range of 3000RMB to 29400RMB. With an average of 8900RMB per customer</t>
  </si>
  <si>
    <t>Amount of payment credits and cash rewards (A)</t>
  </si>
  <si>
    <t>Average processing fee rate (B)</t>
  </si>
  <si>
    <t>Revenue form processing fees (Obtained from an approximate of A*B)</t>
  </si>
  <si>
    <t>Assume processing fee rate remains</t>
  </si>
  <si>
    <t>N/A</t>
  </si>
  <si>
    <t>-</t>
  </si>
  <si>
    <t>No explanation given on the drop. Might be too small to worry about</t>
  </si>
  <si>
    <t>Processing fees declining. Assume 105,550 amount of payment credits as a plateau</t>
  </si>
  <si>
    <t>(Given in the documents) (Free of Charge Service)</t>
  </si>
  <si>
    <t>Number of Offline paying customers</t>
  </si>
  <si>
    <t>Interactive Advetising Business</t>
  </si>
  <si>
    <t>Apparent Market Share of User Management SaaS , China</t>
  </si>
  <si>
    <t>Only used as a reference</t>
  </si>
  <si>
    <t>Hard Figure</t>
  </si>
  <si>
    <t>There has to be a point in time where the firm maximises the number of apps</t>
  </si>
  <si>
    <t xml:space="preserve">Pricing for service </t>
  </si>
  <si>
    <t>Currently price stays the same</t>
  </si>
  <si>
    <t>Growth Rate observed</t>
  </si>
  <si>
    <t>Assume CTR remains</t>
  </si>
  <si>
    <t>Total Revenue from Interactive Advertising Business</t>
  </si>
  <si>
    <t>MAUs/Advertising page views</t>
  </si>
  <si>
    <t>Assumed Figures.</t>
  </si>
  <si>
    <t>Check figures with apparent market size</t>
  </si>
  <si>
    <t>Revenue under the CPC mode (in thousands of RMB)</t>
  </si>
  <si>
    <t>Projected Total Market Size by iResearch (Hardcoded) (million of RMB)</t>
  </si>
  <si>
    <t>Market share seems reasonable</t>
  </si>
  <si>
    <t>Assume constant. Too small to be significant</t>
  </si>
  <si>
    <t>Growth Rate observed / expected</t>
  </si>
  <si>
    <t>Due to decreasing amount of payment credits and cash rewards</t>
  </si>
  <si>
    <t>% of revenue</t>
  </si>
  <si>
    <t>Changes in fair value</t>
  </si>
  <si>
    <t>Tax at the tax rate of 25%</t>
  </si>
  <si>
    <r>
      <t xml:space="preserve">Effect of </t>
    </r>
    <r>
      <rPr>
        <u/>
        <sz val="11"/>
        <color theme="1"/>
        <rFont val="Calibri"/>
        <family val="2"/>
        <scheme val="minor"/>
      </rPr>
      <t>preferential lower tax rates</t>
    </r>
    <r>
      <rPr>
        <sz val="11"/>
        <color theme="1"/>
        <rFont val="Calibri"/>
        <family val="2"/>
        <scheme val="minor"/>
      </rPr>
      <t xml:space="preserve"> entitled</t>
    </r>
  </si>
  <si>
    <r>
      <t xml:space="preserve">Effect of tax rate </t>
    </r>
    <r>
      <rPr>
        <u/>
        <sz val="11"/>
        <color theme="1"/>
        <rFont val="Calibri"/>
        <family val="2"/>
        <scheme val="minor"/>
      </rPr>
      <t>differences in other jurisdictions</t>
    </r>
  </si>
  <si>
    <t>Expenses not deductible for tax</t>
  </si>
  <si>
    <t>Effect on different of tax rate between current tax and deferred tax</t>
  </si>
  <si>
    <t>Effect of tax concessions</t>
  </si>
  <si>
    <t>Tax losses not recognised</t>
  </si>
  <si>
    <t>Constant</t>
  </si>
  <si>
    <t>Given / Projected</t>
  </si>
  <si>
    <t>1) Company is not subject to any income tax in the Cayman Islands</t>
  </si>
  <si>
    <t>2) Hong Kong profits tax has been provided at the rate of 16.5%</t>
  </si>
  <si>
    <t>followed by a 50% reduction for the next three years.</t>
  </si>
  <si>
    <t>HZ Duiba was subject to income tax at a statutory rate of 25% for the year ended 2015</t>
  </si>
  <si>
    <t>Income tax [ Charge / (Credit) ]</t>
  </si>
  <si>
    <t>3) PRC subsidiaries were subject to income tax at a statutory rate of 25% for the year on their respective taxable income except for HZ Duiba and HZ Tuia</t>
  </si>
  <si>
    <t>4) HZ Duiba and HZ Tuia were certified as Software Enterprises and are exempted from income tax for two years starting from the first year in which they generate taxable profit.</t>
  </si>
  <si>
    <t>5) HZ Duiba was qualified as a High and New Technology Enterprise and was subject to a preferential income tax rate of 15% for the year ended 31 December 2016.</t>
  </si>
  <si>
    <t>6) HZ Duiba and HZ Tuia were exempted from income tax for the years ended 31 December 2017 and 2018</t>
  </si>
  <si>
    <t>Refer to Tax Breakdown</t>
  </si>
  <si>
    <t>HZ Duiba qualified as a High and New Technology Enterprise. 15%</t>
  </si>
  <si>
    <t>Page I-45</t>
  </si>
  <si>
    <t>Administrative expenses</t>
  </si>
  <si>
    <t>Lost money in 2018 due to changes in fair value???</t>
  </si>
  <si>
    <t xml:space="preserve">We designate the redeemable preference shares we issued from time to time as financial liabilities at fair value through profit or loss. </t>
  </si>
  <si>
    <t>As at 31 December 2017</t>
  </si>
  <si>
    <t>As at 31 December 2018</t>
  </si>
  <si>
    <t>Series Seed</t>
  </si>
  <si>
    <t>Series A</t>
  </si>
  <si>
    <t xml:space="preserve">Series B </t>
  </si>
  <si>
    <t>Series C</t>
  </si>
  <si>
    <t>Series Angel</t>
  </si>
  <si>
    <t>Conversion of preferred to ordinary</t>
  </si>
  <si>
    <r>
      <rPr>
        <u/>
        <sz val="11"/>
        <color theme="1"/>
        <rFont val="Calibri"/>
        <family val="2"/>
        <scheme val="minor"/>
      </rPr>
      <t>Issued</t>
    </r>
    <r>
      <rPr>
        <sz val="11"/>
        <color theme="1"/>
        <rFont val="Calibri"/>
        <family val="2"/>
        <scheme val="minor"/>
      </rPr>
      <t xml:space="preserve"> preference</t>
    </r>
  </si>
  <si>
    <t>Replacement of Series Angel</t>
  </si>
  <si>
    <r>
      <rPr>
        <u/>
        <sz val="11"/>
        <color theme="1"/>
        <rFont val="Calibri"/>
        <family val="2"/>
        <scheme val="minor"/>
      </rPr>
      <t>Repurchase</t>
    </r>
    <r>
      <rPr>
        <sz val="11"/>
        <color theme="1"/>
        <rFont val="Calibri"/>
        <family val="2"/>
        <scheme val="minor"/>
      </rPr>
      <t xml:space="preserve"> of preferred shares</t>
    </r>
  </si>
  <si>
    <t>Currency Translation difference</t>
  </si>
  <si>
    <t>They issued some shares [Raised Equity]</t>
  </si>
  <si>
    <t>Repurchase</t>
  </si>
  <si>
    <t>FX</t>
  </si>
  <si>
    <t>They converted some of the Series Seed, A &amp; B shares to ordinary [Equity transfer agreements]</t>
  </si>
  <si>
    <t>This means they replaced some Series Seed, A &amp; B shares to Series Angel shares [Equity transfer agreements]</t>
  </si>
  <si>
    <t>Operating Assumptions</t>
  </si>
  <si>
    <t>I don’t get this</t>
  </si>
  <si>
    <t>Terminated</t>
  </si>
  <si>
    <t xml:space="preserve">We currently intend to declare and pay dividends on an annual basis of no less than 30% of our adjusted profit </t>
  </si>
  <si>
    <t>Growth rate of 10% assumed</t>
  </si>
  <si>
    <t>Given the data we currently have of the markets, this is highly unlikely.</t>
  </si>
  <si>
    <t>The firm's stock price has been dropping</t>
  </si>
  <si>
    <t>CAPEX</t>
  </si>
  <si>
    <t>CAPEX as a % of Revenue</t>
  </si>
  <si>
    <t>Leasehold improvements</t>
  </si>
  <si>
    <t>Office Equipment</t>
  </si>
  <si>
    <t>Motor Vehicles</t>
  </si>
  <si>
    <t>Gross PPE</t>
  </si>
  <si>
    <t>Total Gross PPE</t>
  </si>
  <si>
    <t>CAPEX by segment</t>
  </si>
  <si>
    <t>Total Capex</t>
  </si>
  <si>
    <t>Capex % of Revenue</t>
  </si>
  <si>
    <t>%</t>
  </si>
  <si>
    <t>Plant and machinery</t>
  </si>
  <si>
    <t>[Straight-line basis]</t>
  </si>
  <si>
    <t>Operating Assumptions. Could be lowered</t>
  </si>
  <si>
    <t>Depreciation Schedule</t>
  </si>
  <si>
    <t>Original Balance</t>
  </si>
  <si>
    <t>Year 1</t>
  </si>
  <si>
    <t>Year 2</t>
  </si>
  <si>
    <t>Year 3</t>
  </si>
  <si>
    <t>Year 4</t>
  </si>
  <si>
    <t>Operating Assumptions. Could be higher</t>
  </si>
  <si>
    <t>Operating Assumptions. Might need to increase sometime. However the PPE is very small</t>
  </si>
  <si>
    <t>Growth in PPE</t>
  </si>
  <si>
    <t>Total Depreciation</t>
  </si>
  <si>
    <t>Net PPE</t>
  </si>
  <si>
    <t>Years</t>
  </si>
  <si>
    <t>2017 Disposed</t>
  </si>
  <si>
    <t>Looks wrong. Afraid it wont balance. Its close. Just bring depre forward</t>
  </si>
  <si>
    <t>Income Statement</t>
  </si>
  <si>
    <t>RMB'000</t>
  </si>
  <si>
    <t>Historical</t>
  </si>
  <si>
    <t>Projection Period</t>
  </si>
  <si>
    <t>2016A</t>
  </si>
  <si>
    <t>2017A</t>
  </si>
  <si>
    <t>2018A</t>
  </si>
  <si>
    <t>Cost Assumptions</t>
  </si>
  <si>
    <t>% of revenue for Cost of Sales</t>
  </si>
  <si>
    <t>% of revenue for Other Income and Gains</t>
  </si>
  <si>
    <t>% of revenue for Selling &amp; distribution expenses</t>
  </si>
  <si>
    <t>% of revenue for Other expenses</t>
  </si>
  <si>
    <t>% of revenue for finance costs</t>
  </si>
  <si>
    <t>Bear</t>
  </si>
  <si>
    <t>Base</t>
  </si>
  <si>
    <t>Bull</t>
  </si>
  <si>
    <t>Cost Build</t>
  </si>
  <si>
    <t>% of revenue for Administrative expenses</t>
  </si>
  <si>
    <t>Assumptions</t>
  </si>
  <si>
    <t>Income Tax %</t>
  </si>
  <si>
    <t>Provision for Income Tax</t>
  </si>
  <si>
    <t>Net Income (Loss)</t>
  </si>
  <si>
    <t>Assumption is Gross Profit Margins Remain?</t>
  </si>
  <si>
    <t>This one I can understand because of the increase in taxes</t>
  </si>
  <si>
    <t>2018A is negative. 2019F is positive</t>
  </si>
  <si>
    <t>Cost of Goods Sold</t>
  </si>
  <si>
    <t>Operating Expenses</t>
  </si>
  <si>
    <t>We have assumed a 12.5% tax rate, see point (4). Before returning to full tax rate at 25% three years later</t>
  </si>
  <si>
    <t>Tax Assumptions</t>
  </si>
  <si>
    <t>Tax Details</t>
  </si>
  <si>
    <t>Fair Value of Liabilities at Profit or Loss</t>
  </si>
  <si>
    <t>Fair Value of Series C shares</t>
  </si>
  <si>
    <t>Changes in FV of Series C shares</t>
  </si>
  <si>
    <t>Fair Value of Series Angel shares</t>
  </si>
  <si>
    <t xml:space="preserve">Change in Fair Value of Series Angel shares </t>
  </si>
  <si>
    <t>Total Change in fair value</t>
  </si>
  <si>
    <t>Attempt at finding tax rate below (hidden)</t>
  </si>
  <si>
    <t>Revenue Build</t>
  </si>
  <si>
    <t>CHECK</t>
  </si>
  <si>
    <t>Total Revenue</t>
  </si>
  <si>
    <t>Merchandise Procurement services</t>
  </si>
  <si>
    <t>Payment credits and cash rewards Procurement services</t>
  </si>
  <si>
    <t>1)</t>
  </si>
  <si>
    <t>Growth Rate for amount of payment credits and cash rewards</t>
  </si>
  <si>
    <t>Total Revenue from Procurement services</t>
  </si>
  <si>
    <t>2)</t>
  </si>
  <si>
    <t>(C)</t>
  </si>
  <si>
    <t>(D)</t>
  </si>
  <si>
    <t>Total Revenue from User management SaaS platform business (C) + (D)</t>
  </si>
  <si>
    <t>Procurement Services</t>
  </si>
  <si>
    <t>User Management SaaS platform business</t>
  </si>
  <si>
    <t>This was given</t>
  </si>
  <si>
    <t xml:space="preserve">Average Pricing for service </t>
  </si>
  <si>
    <t>Total revenue from Online paying customers (E)</t>
  </si>
  <si>
    <t>Total revenue from Offline paying customers (F)</t>
  </si>
  <si>
    <t xml:space="preserve">The number of mobile apps registered with the User Management SaaS platform </t>
  </si>
  <si>
    <t>Customers paying for the User Management SaaS platform</t>
  </si>
  <si>
    <t>Number of Online paying customers (in millions)</t>
  </si>
  <si>
    <t xml:space="preserve">Revenue from Paying Customers for the User management SaaS platform (E) + (F) </t>
  </si>
  <si>
    <t>(Used as a reference)</t>
  </si>
  <si>
    <t>Growth Rate of MAUs</t>
  </si>
  <si>
    <t>Breakdown of Two Main Revenue Streams</t>
  </si>
  <si>
    <t>PPE Schedule</t>
  </si>
  <si>
    <t>Year ended 31st December</t>
  </si>
  <si>
    <t>Assummption: No disposals during forecasted period</t>
  </si>
  <si>
    <t>Some differences during actual period are due to disposals. Numbers reflected are correct.</t>
  </si>
  <si>
    <t>Balance Sheet</t>
  </si>
  <si>
    <t>Depriciable Years</t>
  </si>
  <si>
    <t>Statement of Cash Flows</t>
  </si>
  <si>
    <t>Depreciation here</t>
  </si>
  <si>
    <t>Changes in Fair Value. &gt; Income Statement</t>
  </si>
  <si>
    <t>Intellectual property</t>
  </si>
  <si>
    <t>Dividend Payout Rate</t>
  </si>
  <si>
    <t>Start of Working Capital</t>
  </si>
  <si>
    <t>End of Working Capital</t>
  </si>
  <si>
    <t>Assume to be zero</t>
  </si>
  <si>
    <t>Page I-40 might have stuff</t>
  </si>
  <si>
    <t>Assume no disposals or disposals at no gain or loss</t>
  </si>
  <si>
    <t>Assume no FX changes</t>
  </si>
  <si>
    <t>No Amortization here as balance sheet shows constant value</t>
  </si>
  <si>
    <t>Assume no impairment of trade receivables</t>
  </si>
  <si>
    <t>Given. Page 14</t>
  </si>
  <si>
    <t>Assumption is no more repuchase or issuing</t>
  </si>
  <si>
    <t>Assume no more disposals, similar to above</t>
  </si>
  <si>
    <t>This makes sense. We assume no investments</t>
  </si>
  <si>
    <t>We assume no changes in these financial assets</t>
  </si>
  <si>
    <t xml:space="preserve">If we notice the major changes here are the </t>
  </si>
  <si>
    <t>Financial Assets and the advances to the director</t>
  </si>
  <si>
    <t>How the FA works is last year's FA add the purchase and minus the proceeds and add the investmetn income &amp; the changes in fair value to these FA</t>
  </si>
  <si>
    <t>This is from the CFO and CFI</t>
  </si>
  <si>
    <t>Personal Notes:</t>
  </si>
  <si>
    <t>Hidden</t>
  </si>
  <si>
    <t>If this is my assumption then okay</t>
  </si>
  <si>
    <t>Total Assets - Total Liabilities</t>
  </si>
  <si>
    <t>Share Capital</t>
  </si>
  <si>
    <t>Capital Reserve</t>
  </si>
  <si>
    <t>Statutory and other surplus reserves</t>
  </si>
  <si>
    <t>Accumulated losses</t>
  </si>
  <si>
    <t>Total equity/(net defiency of assets)</t>
  </si>
  <si>
    <t>Page I-7</t>
  </si>
  <si>
    <t>Share Premium</t>
  </si>
  <si>
    <t>Exchange Fluctuation Reserve</t>
  </si>
  <si>
    <t>Transfer to statutory reserves</t>
  </si>
  <si>
    <t>Company Name:</t>
  </si>
  <si>
    <t>Sheet Navigator</t>
  </si>
  <si>
    <t>Ticker:</t>
  </si>
  <si>
    <t>1. Income Statement</t>
  </si>
  <si>
    <t>Consolidated annual income statement</t>
  </si>
  <si>
    <t>Last Historical Year:</t>
  </si>
  <si>
    <t>2. Balance Sheet</t>
  </si>
  <si>
    <t>Consolidated annual balance sheet</t>
  </si>
  <si>
    <t>Valuation Date:</t>
  </si>
  <si>
    <t>3. Cash Flow Statement</t>
  </si>
  <si>
    <t>Consolidated statement of cash flows</t>
  </si>
  <si>
    <t>Current Price (US$):</t>
  </si>
  <si>
    <t>Breakdown of annual PPE &amp; intangible assets, and capital expenditure</t>
  </si>
  <si>
    <t>Target Price (US$):</t>
  </si>
  <si>
    <t>Projection of revenue of intrinsic business segments &amp; assumptions made</t>
  </si>
  <si>
    <t>Projection of COGS, SG&amp;A expenses</t>
  </si>
  <si>
    <t>7. Financial Analysis</t>
  </si>
  <si>
    <t>Building blocks of analysis for SSG</t>
  </si>
  <si>
    <t>List of trading comparables</t>
  </si>
  <si>
    <t>Duiba Group</t>
  </si>
  <si>
    <t>4. Revenue Drivers</t>
  </si>
  <si>
    <t>5. Cost Drivers</t>
  </si>
  <si>
    <t>6. PPE Schedule</t>
  </si>
  <si>
    <t>8. Tax Breakdown</t>
  </si>
  <si>
    <t>9.Changes in FV</t>
  </si>
  <si>
    <t>10. Trading Comparables</t>
  </si>
  <si>
    <t>Understanding Tax Rates</t>
  </si>
  <si>
    <t>Financial Liabilities at profit or loss</t>
  </si>
  <si>
    <t>Net Income</t>
  </si>
  <si>
    <t>Current Ratio</t>
  </si>
  <si>
    <t>Gross Margin</t>
  </si>
  <si>
    <t>Net Profit Margin</t>
  </si>
  <si>
    <t>EBITDA</t>
  </si>
  <si>
    <t>EBITDA Margin</t>
  </si>
  <si>
    <t>Financial Analysis</t>
  </si>
  <si>
    <t>Full List of Unfiltered Peers</t>
  </si>
  <si>
    <t>Liquidity</t>
  </si>
  <si>
    <t>ROI</t>
  </si>
  <si>
    <t>Profitability</t>
  </si>
  <si>
    <t>Solvency</t>
  </si>
  <si>
    <t>Symbol</t>
  </si>
  <si>
    <t>Name</t>
  </si>
  <si>
    <t>Last Price</t>
  </si>
  <si>
    <t>P/E(x)</t>
  </si>
  <si>
    <t>Market Cap</t>
  </si>
  <si>
    <t>R. Growth YOY</t>
  </si>
  <si>
    <t>Operating P. Margin</t>
  </si>
  <si>
    <t>NP Margin</t>
  </si>
  <si>
    <t>Cur. R. (X)</t>
  </si>
  <si>
    <t>Quick R. (X)</t>
  </si>
  <si>
    <t>ROA</t>
  </si>
  <si>
    <t>ROE</t>
  </si>
  <si>
    <t>GP Margin</t>
  </si>
  <si>
    <t>Debt/Equity</t>
  </si>
  <si>
    <t>Yr end</t>
  </si>
  <si>
    <t>00136.HK</t>
  </si>
  <si>
    <t>HENGTEN NET</t>
  </si>
  <si>
    <t>13.50B</t>
  </si>
  <si>
    <t>568.64M</t>
  </si>
  <si>
    <t>2018/12</t>
  </si>
  <si>
    <t>00250.HK</t>
  </si>
  <si>
    <t>SINO-I TECH</t>
  </si>
  <si>
    <t>1.39B</t>
  </si>
  <si>
    <t>1.01B</t>
  </si>
  <si>
    <t>00327.HK</t>
  </si>
  <si>
    <t>PAX GLOBAL</t>
  </si>
  <si>
    <t>3.52B</t>
  </si>
  <si>
    <t>4.42B</t>
  </si>
  <si>
    <t>00395.HK</t>
  </si>
  <si>
    <t>SMARTAC GP CH</t>
  </si>
  <si>
    <t>1.94B</t>
  </si>
  <si>
    <t>19.76M</t>
  </si>
  <si>
    <t>00400.HK</t>
  </si>
  <si>
    <t>COGOBUY</t>
  </si>
  <si>
    <t>3.45B</t>
  </si>
  <si>
    <t>6.30B</t>
  </si>
  <si>
    <t>00434.HK</t>
  </si>
  <si>
    <t>BOYAA</t>
  </si>
  <si>
    <t>1.35B</t>
  </si>
  <si>
    <t>516.05M</t>
  </si>
  <si>
    <t>00484.HK</t>
  </si>
  <si>
    <t>FORGAME</t>
  </si>
  <si>
    <t>977.40M</t>
  </si>
  <si>
    <t>369.18M</t>
  </si>
  <si>
    <t>00536.HK</t>
  </si>
  <si>
    <t>TRADELINK</t>
  </si>
  <si>
    <t>287.49M</t>
  </si>
  <si>
    <t>00543.HK</t>
  </si>
  <si>
    <t>PACIFIC ONLINE</t>
  </si>
  <si>
    <t>1.72B</t>
  </si>
  <si>
    <t>1.16B</t>
  </si>
  <si>
    <t>00700.HK</t>
  </si>
  <si>
    <t>TENCENT</t>
  </si>
  <si>
    <t>3,050.39B</t>
  </si>
  <si>
    <t>356.03B</t>
  </si>
  <si>
    <t>00772.HK</t>
  </si>
  <si>
    <t>CHINA LIT</t>
  </si>
  <si>
    <t>30.57B</t>
  </si>
  <si>
    <t>5.74B</t>
  </si>
  <si>
    <t>00777.HK</t>
  </si>
  <si>
    <t>NETDRAGON</t>
  </si>
  <si>
    <t>10.50B</t>
  </si>
  <si>
    <t>00797.HK</t>
  </si>
  <si>
    <t>7ROAD</t>
  </si>
  <si>
    <t>3.63B</t>
  </si>
  <si>
    <t>378.45M</t>
  </si>
  <si>
    <t>00799.HK</t>
  </si>
  <si>
    <t>IGG</t>
  </si>
  <si>
    <t>11.89B</t>
  </si>
  <si>
    <t>5.87B</t>
  </si>
  <si>
    <t>00802.HK</t>
  </si>
  <si>
    <t>CHINA E-WALLET</t>
  </si>
  <si>
    <t>507.59M</t>
  </si>
  <si>
    <t>90.73M</t>
  </si>
  <si>
    <t>01022.HK</t>
  </si>
  <si>
    <t>FEIYU</t>
  </si>
  <si>
    <t>375.91M</t>
  </si>
  <si>
    <t>94.79M</t>
  </si>
  <si>
    <t>01039.HK</t>
  </si>
  <si>
    <t>FORTUNET E-COMM</t>
  </si>
  <si>
    <t>724.38M</t>
  </si>
  <si>
    <t>58.04M</t>
  </si>
  <si>
    <t>01089.HK</t>
  </si>
  <si>
    <t>LEYOU TECH H</t>
  </si>
  <si>
    <t>7.09B</t>
  </si>
  <si>
    <t>1.78B</t>
  </si>
  <si>
    <t>01094.HK</t>
  </si>
  <si>
    <t>C P PROCUREMENT</t>
  </si>
  <si>
    <t>66.31M</t>
  </si>
  <si>
    <t>68.29M</t>
  </si>
  <si>
    <t>01119.HK</t>
  </si>
  <si>
    <t>IDREAMSKY</t>
  </si>
  <si>
    <t>6.58B</t>
  </si>
  <si>
    <t>2.69B</t>
  </si>
  <si>
    <t>01357.HK</t>
  </si>
  <si>
    <t>MEITU</t>
  </si>
  <si>
    <t>10.94B</t>
  </si>
  <si>
    <t>3.18B</t>
  </si>
  <si>
    <t>01736.HK</t>
  </si>
  <si>
    <t>PARENTING NET</t>
  </si>
  <si>
    <t>276.93M</t>
  </si>
  <si>
    <t>124.92M</t>
  </si>
  <si>
    <t>01753.HK</t>
  </si>
  <si>
    <t>DUIBA</t>
  </si>
  <si>
    <t>5.07B</t>
  </si>
  <si>
    <t>01761.HK</t>
  </si>
  <si>
    <t>BABYTREE GROUP</t>
  </si>
  <si>
    <t>8.43B</t>
  </si>
  <si>
    <t>865.45M</t>
  </si>
  <si>
    <t>01980.HK</t>
  </si>
  <si>
    <t>TIANGE</t>
  </si>
  <si>
    <t>2.75B</t>
  </si>
  <si>
    <t>856.15M</t>
  </si>
  <si>
    <t>02022.HK</t>
  </si>
  <si>
    <t>DIGIT HOLLYWOOD</t>
  </si>
  <si>
    <t>480.00M</t>
  </si>
  <si>
    <t>189.28M</t>
  </si>
  <si>
    <t>02100.HK</t>
  </si>
  <si>
    <t>BAIOO</t>
  </si>
  <si>
    <t>1.30B</t>
  </si>
  <si>
    <t>323.92M</t>
  </si>
  <si>
    <t>02280.HK</t>
  </si>
  <si>
    <t>HC GROUP</t>
  </si>
  <si>
    <t>3.49B</t>
  </si>
  <si>
    <t>12.05B</t>
  </si>
  <si>
    <t>02660.HK</t>
  </si>
  <si>
    <t>ZENGAME</t>
  </si>
  <si>
    <t>919.50M</t>
  </si>
  <si>
    <t>03690.HK</t>
  </si>
  <si>
    <t>MEITUAN-W</t>
  </si>
  <si>
    <t>352.30B</t>
  </si>
  <si>
    <t>74.27B</t>
  </si>
  <si>
    <t>03738.HK</t>
  </si>
  <si>
    <t>VOBILE GROUP</t>
  </si>
  <si>
    <t>1.12B</t>
  </si>
  <si>
    <t>119.27M</t>
  </si>
  <si>
    <t>06860.HK</t>
  </si>
  <si>
    <t>FINGERTANGO</t>
  </si>
  <si>
    <t>2.89B</t>
  </si>
  <si>
    <t>1.24B</t>
  </si>
  <si>
    <t>06899.HK</t>
  </si>
  <si>
    <t>OURGAME</t>
  </si>
  <si>
    <t>809.08M</t>
  </si>
  <si>
    <t>390.95M</t>
  </si>
  <si>
    <t>08062.HK</t>
  </si>
  <si>
    <t>EFT SOLUTIONS</t>
  </si>
  <si>
    <t>115.20M</t>
  </si>
  <si>
    <t>94.15M</t>
  </si>
  <si>
    <t>2018/03</t>
  </si>
  <si>
    <t>08083.HK</t>
  </si>
  <si>
    <t>CHINA YOUZAN</t>
  </si>
  <si>
    <t>7.27B</t>
  </si>
  <si>
    <t>684.46M</t>
  </si>
  <si>
    <t>08086.HK</t>
  </si>
  <si>
    <t>SINO VISION WW</t>
  </si>
  <si>
    <t>272.88M</t>
  </si>
  <si>
    <t>308.24M</t>
  </si>
  <si>
    <t>2018/06</t>
  </si>
  <si>
    <t>08148.HK</t>
  </si>
  <si>
    <t>AURUM PACIFIC</t>
  </si>
  <si>
    <t>165.44M</t>
  </si>
  <si>
    <t>53.97M</t>
  </si>
  <si>
    <t>08206.HK</t>
  </si>
  <si>
    <t>S ROBOT EDU</t>
  </si>
  <si>
    <t>663.49M</t>
  </si>
  <si>
    <t>141.48M</t>
  </si>
  <si>
    <t>08255.HK</t>
  </si>
  <si>
    <t>CHINA BINARY</t>
  </si>
  <si>
    <t>187.20M</t>
  </si>
  <si>
    <t>37.55M</t>
  </si>
  <si>
    <t>08267.HK</t>
  </si>
  <si>
    <t>LINEKONG</t>
  </si>
  <si>
    <t>294.98M</t>
  </si>
  <si>
    <t>521.24M</t>
  </si>
  <si>
    <t>08278.HK</t>
  </si>
  <si>
    <t>CMON</t>
  </si>
  <si>
    <t>301.60M</t>
  </si>
  <si>
    <t>220.98M</t>
  </si>
  <si>
    <t>08282.HK</t>
  </si>
  <si>
    <t>GAMEONE</t>
  </si>
  <si>
    <t>55.20M</t>
  </si>
  <si>
    <t>105.45M</t>
  </si>
  <si>
    <t>08317.HK</t>
  </si>
  <si>
    <t>FINET GROUP</t>
  </si>
  <si>
    <t>306.61M</t>
  </si>
  <si>
    <t>18.77M</t>
  </si>
  <si>
    <t>08325.HK</t>
  </si>
  <si>
    <t>CHINA SMARTPAY</t>
  </si>
  <si>
    <t>772.77M</t>
  </si>
  <si>
    <t>598.48M</t>
  </si>
  <si>
    <t>08345.HK</t>
  </si>
  <si>
    <t>FIRE ROCK</t>
  </si>
  <si>
    <t>1.89B</t>
  </si>
  <si>
    <t>182.97M</t>
  </si>
  <si>
    <t>1B</t>
  </si>
  <si>
    <t>Operating Margin</t>
  </si>
  <si>
    <t>Operating Profit</t>
  </si>
  <si>
    <t>!</t>
  </si>
  <si>
    <t>List of Chosen Peers</t>
  </si>
  <si>
    <t>HK:1753</t>
  </si>
  <si>
    <t>Colour Convention</t>
  </si>
  <si>
    <t>Indsutry</t>
  </si>
  <si>
    <t xml:space="preserve">Technology </t>
  </si>
  <si>
    <t>General Information</t>
  </si>
  <si>
    <t>Company Description</t>
  </si>
  <si>
    <t>Duiba Group is a user management SaaS provider for online businesses and the leading interactive</t>
  </si>
  <si>
    <t>advertising platform operator in China. According to iResearch, they ranked first in (i) China’s user</t>
  </si>
  <si>
    <t>management SaaS market in terms of the number of registered mobile apps as of December 31, 2018</t>
  </si>
  <si>
    <t>each with DAUs above one million; and (ii) China’s mobile interactive advertising market in terms of</t>
  </si>
  <si>
    <t>revenue in 2018, with a market share of over 50%</t>
  </si>
  <si>
    <t>Statutory reserves</t>
  </si>
  <si>
    <t>COGS</t>
  </si>
  <si>
    <t>SG&amp;A</t>
  </si>
  <si>
    <t>Average of 41 seems too high</t>
  </si>
  <si>
    <t>Average of 50 seems too high</t>
  </si>
  <si>
    <t>SG&amp;A or Revenue. SG&amp;A chosen</t>
  </si>
  <si>
    <t>Revenue. Looks okay</t>
  </si>
  <si>
    <t>COGS. Looks okay</t>
  </si>
  <si>
    <t>30 useed</t>
  </si>
  <si>
    <t>40 used</t>
  </si>
  <si>
    <t>Cash available to pay down debt</t>
  </si>
  <si>
    <t>Cash at beginning of year</t>
  </si>
  <si>
    <t>Cash flow before debt paydown</t>
  </si>
  <si>
    <t>Total cash available to pay down debt</t>
  </si>
  <si>
    <t>Total issuances / (retirements)</t>
  </si>
  <si>
    <t>Total interest expense</t>
  </si>
  <si>
    <t>Cash at the end of the year</t>
  </si>
  <si>
    <t>Interest income</t>
  </si>
  <si>
    <t>Interest rate</t>
  </si>
  <si>
    <t>Is this even proper</t>
  </si>
  <si>
    <t>Closed</t>
  </si>
  <si>
    <t>Assumed no debt</t>
  </si>
  <si>
    <t>Assume all taxes are paid</t>
  </si>
  <si>
    <t>Similar to the line items above</t>
  </si>
  <si>
    <t>Similar to the line items below</t>
  </si>
  <si>
    <t>FV of FL below</t>
  </si>
  <si>
    <t>Perhaps we project a loss of 200,000 to 100,000?</t>
  </si>
  <si>
    <t>Provided FL, assume no changes</t>
  </si>
  <si>
    <t>Based on Changes in FV and proceeds</t>
  </si>
  <si>
    <t>Based on Changes in FA and proceeds</t>
  </si>
  <si>
    <t>Need to KIV this shit first</t>
  </si>
  <si>
    <t>Assume no more repurchases</t>
  </si>
  <si>
    <t>Honestly not sure how repurhcases affect the Balance Sheet</t>
  </si>
  <si>
    <t>Total Assets - Total Liabilties + Equity</t>
  </si>
  <si>
    <t>No Driver</t>
  </si>
  <si>
    <t>This might be wary</t>
  </si>
  <si>
    <t>kiv</t>
  </si>
  <si>
    <t>All driven to Current Assets</t>
  </si>
  <si>
    <t>11. DCF Analysis</t>
  </si>
  <si>
    <t>Unlevered Cash Flows and WACC calculations</t>
  </si>
  <si>
    <t>Unlevered Free Cash Flow</t>
  </si>
  <si>
    <t>EBIT</t>
  </si>
  <si>
    <t>Depreciation &amp; Amortization</t>
  </si>
  <si>
    <t>Changes in Working Capital</t>
  </si>
  <si>
    <t>Capital Expenditures</t>
  </si>
  <si>
    <t>Taxes</t>
  </si>
  <si>
    <t>Total Unlevered Free Cash Flow</t>
  </si>
  <si>
    <t>Net Present Value Calulation</t>
  </si>
  <si>
    <t>Period</t>
  </si>
  <si>
    <t>Discounted Cash Flow</t>
  </si>
  <si>
    <t>Total Net Present Value</t>
  </si>
  <si>
    <t>Terminal Value</t>
  </si>
  <si>
    <t>EBITDA Method</t>
  </si>
  <si>
    <t>Cost of Capital</t>
  </si>
  <si>
    <t>Exit Year EBITDA</t>
  </si>
  <si>
    <t xml:space="preserve">Risk Free Rate </t>
  </si>
  <si>
    <t>Debt YE 2018</t>
  </si>
  <si>
    <t>Multiple</t>
  </si>
  <si>
    <t xml:space="preserve">Market Risk Premium </t>
  </si>
  <si>
    <t xml:space="preserve">Stock Price </t>
  </si>
  <si>
    <t xml:space="preserve">Beta </t>
  </si>
  <si>
    <t>Shares Outstanding</t>
  </si>
  <si>
    <t>Net Present Value</t>
  </si>
  <si>
    <t xml:space="preserve">Cost of Equity </t>
  </si>
  <si>
    <t>Equity Value</t>
  </si>
  <si>
    <t>Perpetuity Method</t>
  </si>
  <si>
    <t xml:space="preserve">Cost of Debt </t>
  </si>
  <si>
    <t>WACC</t>
  </si>
  <si>
    <t>Need to use a MRP based on the index, S&amp;P500</t>
  </si>
  <si>
    <t xml:space="preserve">Discounted Cash Flow Total Valuation </t>
  </si>
  <si>
    <t xml:space="preserve">EBITDA Method </t>
  </si>
  <si>
    <t>^ Cost of debt should use current rates of debt</t>
  </si>
  <si>
    <t>Total of Present Value of Cash Flows</t>
  </si>
  <si>
    <t>sama sama</t>
  </si>
  <si>
    <t>Current Corporate Debt Rating would be amazing</t>
  </si>
  <si>
    <t>Present Value of Terminal Value</t>
  </si>
  <si>
    <t>Total Enterprise Value</t>
  </si>
  <si>
    <t>Net Debt, Non-controlling interests, preferred securities</t>
  </si>
  <si>
    <t>Estimated Equity Value per Share</t>
  </si>
  <si>
    <t>Total Changes in Working Capital</t>
  </si>
  <si>
    <t>Total Working Capital</t>
  </si>
  <si>
    <t>Share Count (thousands)</t>
  </si>
  <si>
    <t>8th of July 2019</t>
  </si>
  <si>
    <t>Duiba Group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</si>
</sst>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-* #,##0.00_-;\-* #,##0.00_-;_-* &quot;-&quot;??_-;_-@_-"/>
    <numFmt numFmtId="164" formatCode="_-* #,##0_-;\-* #,##0_-;_-* &quot;-&quot;??_-;_-@_-"/>
    <numFmt numFmtId="165" formatCode="_(* #,##0.0_);_(* \(#,##0.0\);_(* &quot;-&quot;??_);_(@_)"/>
    <numFmt numFmtId="166" formatCode="_(* #,##0_);_(* \(#,##0\);_(* &quot;-&quot;??_);_(@_)"/>
    <numFmt numFmtId="167" formatCode="_(\ #,##0.00_);_(\ \(#,##0.00\)_);_(\ &quot; - &quot;_)"/>
    <numFmt numFmtId="168" formatCode="General\A"/>
    <numFmt numFmtId="169" formatCode="General\E"/>
    <numFmt numFmtId="170" formatCode="#,##0.0_);\(#,##0.0\)"/>
    <numFmt numFmtId="171" formatCode="#,##0.0_);[Red]\(#,##0.0\)"/>
    <numFmt numFmtId="172" formatCode="0.0%"/>
    <numFmt numFmtId="173" formatCode="0.0\x"/>
    <numFmt numFmtId="174" formatCode="#,##0_);\(#,##0\)"/>
    <numFmt numFmtId="175" formatCode="#,##0.00_);\(#,##0.00\);#,##0.00_);@_)"/>
    <numFmt numFmtId="176" formatCode="#,##0_);[Red]\(#,##0\)"/>
    <numFmt numFmtId="177" formatCode="#,##0.00_);[Red]\(#,##0.00\)"/>
  </numFmts>
  <fonts count="35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FF"/>
      <name val="Century Gothic"/>
      <family val="1"/>
    </font>
    <font>
      <sz val="9"/>
      <color theme="1"/>
      <name val="Century Gothic"/>
      <family val="1"/>
    </font>
    <font>
      <b/>
      <sz val="9"/>
      <color theme="1"/>
      <name val="Century Gothic"/>
      <family val="1"/>
    </font>
    <font>
      <b/>
      <sz val="9"/>
      <color rgb="FF00B050"/>
      <name val="Century Gothic"/>
      <family val="1"/>
    </font>
    <font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sz val="9"/>
      <color theme="0"/>
      <name val="Century Gothic"/>
      <family val="1"/>
    </font>
    <font>
      <b/>
      <sz val="9"/>
      <color theme="0"/>
      <name val="Century Gothic"/>
      <family val="1"/>
    </font>
    <font>
      <b/>
      <sz val="9"/>
      <name val="Century Gothic"/>
      <family val="1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28"/>
      <color theme="0"/>
      <name val="Century Gothic"/>
      <family val="1"/>
    </font>
    <font>
      <b/>
      <sz val="11"/>
      <color theme="0"/>
      <name val="Century Gothic"/>
      <family val="1"/>
    </font>
    <font>
      <b/>
      <sz val="9"/>
      <color theme="1"/>
      <name val="Century Gothic"/>
      <family val="2"/>
    </font>
    <font>
      <b/>
      <u/>
      <sz val="9"/>
      <color theme="1"/>
      <name val="Century Gothic"/>
      <family val="2"/>
    </font>
    <font>
      <b/>
      <sz val="11"/>
      <color theme="0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  <font>
      <i/>
      <sz val="9"/>
      <name val="Arial"/>
      <family val="2"/>
    </font>
    <font>
      <i/>
      <sz val="9"/>
      <color indexed="12"/>
      <name val="Arial"/>
      <family val="2"/>
    </font>
    <font>
      <sz val="10"/>
      <name val="Arial"/>
      <family val="2"/>
    </font>
    <font>
      <sz val="9"/>
      <color indexed="12"/>
      <name val="Arial"/>
      <family val="2"/>
    </font>
    <font>
      <sz val="9"/>
      <color indexed="56"/>
      <name val="Arial"/>
      <family val="2"/>
    </font>
    <font>
      <u/>
      <sz val="9"/>
      <color theme="10"/>
      <name val="Century Gothic"/>
      <family val="2"/>
    </font>
    <font>
      <sz val="9"/>
      <color theme="1"/>
      <name val="Century Gothic"/>
      <family val="2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lightUp"/>
    </fill>
    <fill>
      <patternFill patternType="solid">
        <fgColor rgb="FF002F7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9" fillId="0" borderId="0"/>
    <xf numFmtId="0" fontId="30" fillId="0" borderId="0"/>
  </cellStyleXfs>
  <cellXfs count="364">
    <xf numFmtId="0" fontId="0" fillId="0" borderId="0" xfId="0"/>
    <xf numFmtId="3" fontId="0" fillId="0" borderId="0" xfId="0" applyNumberFormat="1"/>
    <xf numFmtId="0" fontId="0" fillId="0" borderId="0" xfId="0" applyAlignment="1"/>
    <xf numFmtId="0" fontId="2" fillId="0" borderId="0" xfId="0" applyFont="1"/>
    <xf numFmtId="0" fontId="1" fillId="0" borderId="0" xfId="0" applyFont="1"/>
    <xf numFmtId="0" fontId="4" fillId="2" borderId="0" xfId="0" applyFont="1" applyFill="1" applyBorder="1"/>
    <xf numFmtId="0" fontId="0" fillId="0" borderId="0" xfId="0" applyBorder="1"/>
    <xf numFmtId="0" fontId="3" fillId="2" borderId="0" xfId="0" applyFont="1" applyFill="1" applyBorder="1"/>
    <xf numFmtId="0" fontId="0" fillId="0" borderId="0" xfId="0" applyFill="1" applyBorder="1"/>
    <xf numFmtId="0" fontId="5" fillId="0" borderId="0" xfId="0" applyFont="1" applyFill="1" applyBorder="1"/>
    <xf numFmtId="0" fontId="4" fillId="0" borderId="0" xfId="0" applyFont="1" applyFill="1" applyBorder="1"/>
    <xf numFmtId="0" fontId="6" fillId="0" borderId="0" xfId="0" applyFont="1" applyFill="1" applyBorder="1"/>
    <xf numFmtId="0" fontId="3" fillId="0" borderId="0" xfId="0" applyFont="1" applyFill="1" applyBorder="1"/>
    <xf numFmtId="10" fontId="0" fillId="0" borderId="0" xfId="0" applyNumberFormat="1"/>
    <xf numFmtId="9" fontId="0" fillId="0" borderId="0" xfId="0" applyNumberFormat="1"/>
    <xf numFmtId="1" fontId="0" fillId="0" borderId="0" xfId="0" applyNumberFormat="1"/>
    <xf numFmtId="0" fontId="0" fillId="0" borderId="0" xfId="0" applyAlignment="1">
      <alignment horizontal="right"/>
    </xf>
    <xf numFmtId="164" fontId="0" fillId="0" borderId="0" xfId="1" applyNumberFormat="1" applyFont="1"/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ont="1"/>
    <xf numFmtId="165" fontId="8" fillId="5" borderId="0" xfId="0" applyNumberFormat="1" applyFont="1" applyFill="1" applyBorder="1" applyAlignment="1"/>
    <xf numFmtId="1" fontId="8" fillId="5" borderId="0" xfId="0" applyNumberFormat="1" applyFont="1" applyFill="1" applyBorder="1" applyAlignment="1"/>
    <xf numFmtId="166" fontId="8" fillId="5" borderId="0" xfId="0" applyNumberFormat="1" applyFont="1" applyFill="1" applyBorder="1" applyAlignment="1"/>
    <xf numFmtId="0" fontId="10" fillId="6" borderId="0" xfId="0" applyFont="1" applyFill="1" applyBorder="1" applyAlignment="1">
      <alignment horizontal="center"/>
    </xf>
    <xf numFmtId="0" fontId="0" fillId="0" borderId="4" xfId="0" applyFont="1" applyBorder="1"/>
    <xf numFmtId="0" fontId="2" fillId="0" borderId="4" xfId="0" applyFont="1" applyBorder="1" applyAlignment="1">
      <alignment horizontal="right"/>
    </xf>
    <xf numFmtId="0" fontId="0" fillId="0" borderId="0" xfId="0" applyFont="1" applyBorder="1"/>
    <xf numFmtId="0" fontId="2" fillId="0" borderId="0" xfId="0" applyFont="1" applyBorder="1" applyAlignment="1">
      <alignment horizontal="right"/>
    </xf>
    <xf numFmtId="10" fontId="13" fillId="0" borderId="0" xfId="0" applyNumberFormat="1" applyFont="1"/>
    <xf numFmtId="0" fontId="9" fillId="0" borderId="0" xfId="0" applyFont="1" applyFill="1" applyBorder="1"/>
    <xf numFmtId="0" fontId="10" fillId="6" borderId="5" xfId="0" applyFont="1" applyFill="1" applyBorder="1"/>
    <xf numFmtId="10" fontId="15" fillId="2" borderId="0" xfId="2" applyNumberFormat="1" applyFont="1" applyFill="1" applyBorder="1"/>
    <xf numFmtId="10" fontId="15" fillId="2" borderId="1" xfId="2" applyNumberFormat="1" applyFont="1" applyFill="1" applyBorder="1"/>
    <xf numFmtId="10" fontId="0" fillId="0" borderId="0" xfId="0" applyNumberFormat="1" applyBorder="1"/>
    <xf numFmtId="0" fontId="7" fillId="0" borderId="0" xfId="0" applyFont="1" applyBorder="1"/>
    <xf numFmtId="0" fontId="10" fillId="0" borderId="0" xfId="0" applyFont="1" applyFill="1" applyBorder="1"/>
    <xf numFmtId="0" fontId="0" fillId="0" borderId="0" xfId="0" applyAlignment="1">
      <alignment horizontal="left" vertical="top"/>
    </xf>
    <xf numFmtId="0" fontId="0" fillId="0" borderId="0" xfId="0" quotePrefix="1" applyAlignment="1">
      <alignment horizontal="right"/>
    </xf>
    <xf numFmtId="0" fontId="2" fillId="0" borderId="0" xfId="0" applyFont="1" applyBorder="1"/>
    <xf numFmtId="0" fontId="0" fillId="0" borderId="0" xfId="0" quotePrefix="1" applyFill="1" applyAlignment="1">
      <alignment horizontal="right"/>
    </xf>
    <xf numFmtId="0" fontId="2" fillId="0" borderId="0" xfId="0" applyFont="1" applyFill="1"/>
    <xf numFmtId="0" fontId="0" fillId="0" borderId="0" xfId="0" applyAlignment="1">
      <alignment horizontal="left" vertical="center"/>
    </xf>
    <xf numFmtId="0" fontId="10" fillId="6" borderId="8" xfId="0" applyFont="1" applyFill="1" applyBorder="1"/>
    <xf numFmtId="0" fontId="9" fillId="6" borderId="8" xfId="0" applyFont="1" applyFill="1" applyBorder="1"/>
    <xf numFmtId="0" fontId="9" fillId="6" borderId="9" xfId="0" applyFont="1" applyFill="1" applyBorder="1"/>
    <xf numFmtId="0" fontId="0" fillId="0" borderId="10" xfId="0" applyBorder="1"/>
    <xf numFmtId="0" fontId="0" fillId="0" borderId="1" xfId="0" applyBorder="1"/>
    <xf numFmtId="0" fontId="0" fillId="0" borderId="6" xfId="0" applyFont="1" applyBorder="1"/>
    <xf numFmtId="0" fontId="2" fillId="0" borderId="11" xfId="0" applyFont="1" applyBorder="1" applyAlignment="1">
      <alignment horizontal="right"/>
    </xf>
    <xf numFmtId="0" fontId="0" fillId="0" borderId="0" xfId="0" applyFont="1" applyBorder="1" applyAlignment="1">
      <alignment horizontal="center" vertical="center"/>
    </xf>
    <xf numFmtId="164" fontId="0" fillId="0" borderId="0" xfId="1" applyNumberFormat="1" applyFont="1" applyBorder="1"/>
    <xf numFmtId="164" fontId="0" fillId="0" borderId="1" xfId="1" applyNumberFormat="1" applyFont="1" applyBorder="1"/>
    <xf numFmtId="0" fontId="0" fillId="0" borderId="2" xfId="0" applyBorder="1"/>
    <xf numFmtId="0" fontId="0" fillId="0" borderId="3" xfId="0" applyBorder="1"/>
    <xf numFmtId="3" fontId="0" fillId="0" borderId="3" xfId="0" applyNumberFormat="1" applyBorder="1"/>
    <xf numFmtId="9" fontId="0" fillId="0" borderId="3" xfId="0" applyNumberFormat="1" applyBorder="1"/>
    <xf numFmtId="9" fontId="0" fillId="0" borderId="12" xfId="0" applyNumberFormat="1" applyBorder="1"/>
    <xf numFmtId="0" fontId="2" fillId="0" borderId="10" xfId="0" applyFont="1" applyBorder="1"/>
    <xf numFmtId="0" fontId="0" fillId="0" borderId="10" xfId="0" applyFont="1" applyBorder="1"/>
    <xf numFmtId="0" fontId="2" fillId="0" borderId="1" xfId="0" applyFont="1" applyBorder="1" applyAlignment="1">
      <alignment horizontal="right"/>
    </xf>
    <xf numFmtId="9" fontId="0" fillId="0" borderId="0" xfId="0" applyNumberFormat="1" applyBorder="1"/>
    <xf numFmtId="1" fontId="0" fillId="0" borderId="0" xfId="0" applyNumberFormat="1" applyBorder="1"/>
    <xf numFmtId="1" fontId="0" fillId="0" borderId="1" xfId="0" applyNumberFormat="1" applyBorder="1"/>
    <xf numFmtId="2" fontId="0" fillId="0" borderId="0" xfId="0" applyNumberFormat="1" applyBorder="1"/>
    <xf numFmtId="2" fontId="0" fillId="0" borderId="1" xfId="0" applyNumberFormat="1" applyBorder="1"/>
    <xf numFmtId="1" fontId="0" fillId="0" borderId="0" xfId="0" applyNumberFormat="1" applyFill="1" applyBorder="1"/>
    <xf numFmtId="0" fontId="0" fillId="0" borderId="0" xfId="0" quotePrefix="1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10" fontId="0" fillId="0" borderId="3" xfId="0" applyNumberFormat="1" applyFill="1" applyBorder="1"/>
    <xf numFmtId="10" fontId="0" fillId="0" borderId="12" xfId="0" applyNumberFormat="1" applyFill="1" applyBorder="1"/>
    <xf numFmtId="3" fontId="0" fillId="0" borderId="0" xfId="0" applyNumberFormat="1" applyBorder="1"/>
    <xf numFmtId="0" fontId="2" fillId="0" borderId="13" xfId="0" applyFont="1" applyBorder="1"/>
    <xf numFmtId="0" fontId="1" fillId="0" borderId="10" xfId="0" applyFont="1" applyBorder="1"/>
    <xf numFmtId="0" fontId="1" fillId="0" borderId="0" xfId="0" applyFont="1" applyBorder="1"/>
    <xf numFmtId="0" fontId="0" fillId="0" borderId="10" xfId="0" applyBorder="1" applyAlignment="1"/>
    <xf numFmtId="0" fontId="0" fillId="0" borderId="0" xfId="0" applyBorder="1" applyAlignment="1"/>
    <xf numFmtId="164" fontId="0" fillId="0" borderId="0" xfId="1" applyNumberFormat="1" applyFont="1" applyBorder="1" applyAlignment="1">
      <alignment horizontal="center" vertical="center"/>
    </xf>
    <xf numFmtId="0" fontId="1" fillId="0" borderId="10" xfId="0" applyFont="1" applyFill="1" applyBorder="1"/>
    <xf numFmtId="0" fontId="0" fillId="0" borderId="0" xfId="0" quotePrefix="1" applyFill="1" applyBorder="1" applyAlignment="1">
      <alignment horizontal="center" vertical="center"/>
    </xf>
    <xf numFmtId="0" fontId="0" fillId="0" borderId="10" xfId="0" applyFill="1" applyBorder="1"/>
    <xf numFmtId="10" fontId="0" fillId="0" borderId="0" xfId="0" applyNumberFormat="1" applyFill="1" applyBorder="1"/>
    <xf numFmtId="10" fontId="0" fillId="0" borderId="1" xfId="0" applyNumberFormat="1" applyFill="1" applyBorder="1"/>
    <xf numFmtId="0" fontId="0" fillId="0" borderId="1" xfId="0" applyFill="1" applyBorder="1"/>
    <xf numFmtId="1" fontId="0" fillId="0" borderId="1" xfId="0" applyNumberFormat="1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3" xfId="0" quotePrefix="1" applyFill="1" applyBorder="1" applyAlignment="1">
      <alignment horizontal="center" vertical="center"/>
    </xf>
    <xf numFmtId="1" fontId="0" fillId="0" borderId="3" xfId="0" applyNumberFormat="1" applyFill="1" applyBorder="1"/>
    <xf numFmtId="0" fontId="10" fillId="6" borderId="9" xfId="0" applyFont="1" applyFill="1" applyBorder="1"/>
    <xf numFmtId="0" fontId="7" fillId="0" borderId="1" xfId="0" applyFont="1" applyBorder="1"/>
    <xf numFmtId="10" fontId="15" fillId="2" borderId="3" xfId="2" applyNumberFormat="1" applyFont="1" applyFill="1" applyBorder="1"/>
    <xf numFmtId="10" fontId="15" fillId="2" borderId="12" xfId="2" applyNumberFormat="1" applyFont="1" applyFill="1" applyBorder="1"/>
    <xf numFmtId="0" fontId="4" fillId="6" borderId="8" xfId="0" applyFont="1" applyFill="1" applyBorder="1"/>
    <xf numFmtId="0" fontId="4" fillId="6" borderId="9" xfId="0" applyFont="1" applyFill="1" applyBorder="1"/>
    <xf numFmtId="0" fontId="9" fillId="0" borderId="10" xfId="0" applyFont="1" applyFill="1" applyBorder="1"/>
    <xf numFmtId="0" fontId="4" fillId="0" borderId="1" xfId="0" applyFont="1" applyFill="1" applyBorder="1"/>
    <xf numFmtId="0" fontId="0" fillId="0" borderId="0" xfId="0" applyBorder="1" applyAlignment="1">
      <alignment horizontal="center" vertical="center"/>
    </xf>
    <xf numFmtId="164" fontId="12" fillId="0" borderId="0" xfId="1" applyNumberFormat="1" applyFont="1" applyBorder="1"/>
    <xf numFmtId="164" fontId="12" fillId="0" borderId="1" xfId="1" applyNumberFormat="1" applyFont="1" applyBorder="1"/>
    <xf numFmtId="164" fontId="13" fillId="0" borderId="0" xfId="1" applyNumberFormat="1" applyFont="1" applyBorder="1"/>
    <xf numFmtId="164" fontId="14" fillId="0" borderId="0" xfId="1" applyNumberFormat="1" applyFont="1" applyBorder="1"/>
    <xf numFmtId="164" fontId="14" fillId="0" borderId="1" xfId="1" applyNumberFormat="1" applyFont="1" applyBorder="1"/>
    <xf numFmtId="10" fontId="14" fillId="0" borderId="0" xfId="0" applyNumberFormat="1" applyFont="1" applyBorder="1"/>
    <xf numFmtId="10" fontId="14" fillId="0" borderId="1" xfId="0" applyNumberFormat="1" applyFont="1" applyBorder="1"/>
    <xf numFmtId="10" fontId="13" fillId="0" borderId="0" xfId="0" applyNumberFormat="1" applyFont="1" applyBorder="1"/>
    <xf numFmtId="10" fontId="0" fillId="0" borderId="1" xfId="0" applyNumberFormat="1" applyBorder="1"/>
    <xf numFmtId="164" fontId="12" fillId="0" borderId="0" xfId="1" applyNumberFormat="1" applyFont="1" applyFill="1" applyBorder="1"/>
    <xf numFmtId="164" fontId="12" fillId="0" borderId="1" xfId="1" applyNumberFormat="1" applyFont="1" applyFill="1" applyBorder="1"/>
    <xf numFmtId="164" fontId="13" fillId="0" borderId="0" xfId="1" applyNumberFormat="1" applyFont="1" applyFill="1" applyBorder="1"/>
    <xf numFmtId="164" fontId="14" fillId="0" borderId="0" xfId="1" applyNumberFormat="1" applyFont="1" applyFill="1" applyBorder="1"/>
    <xf numFmtId="164" fontId="14" fillId="0" borderId="1" xfId="1" applyNumberFormat="1" applyFont="1" applyFill="1" applyBorder="1"/>
    <xf numFmtId="10" fontId="14" fillId="0" borderId="3" xfId="0" applyNumberFormat="1" applyFont="1" applyBorder="1"/>
    <xf numFmtId="10" fontId="14" fillId="0" borderId="12" xfId="0" applyNumberFormat="1" applyFont="1" applyBorder="1"/>
    <xf numFmtId="0" fontId="10" fillId="0" borderId="10" xfId="0" applyFont="1" applyFill="1" applyBorder="1"/>
    <xf numFmtId="0" fontId="10" fillId="0" borderId="1" xfId="0" applyFont="1" applyFill="1" applyBorder="1"/>
    <xf numFmtId="164" fontId="0" fillId="0" borderId="0" xfId="0" applyNumberFormat="1" applyBorder="1"/>
    <xf numFmtId="16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3" fontId="0" fillId="0" borderId="1" xfId="0" applyNumberFormat="1" applyBorder="1"/>
    <xf numFmtId="3" fontId="0" fillId="0" borderId="12" xfId="0" applyNumberFormat="1" applyBorder="1"/>
    <xf numFmtId="0" fontId="9" fillId="6" borderId="14" xfId="0" applyFont="1" applyFill="1" applyBorder="1"/>
    <xf numFmtId="0" fontId="9" fillId="6" borderId="7" xfId="0" applyFont="1" applyFill="1" applyBorder="1"/>
    <xf numFmtId="10" fontId="0" fillId="0" borderId="0" xfId="1" applyNumberFormat="1" applyFont="1" applyBorder="1"/>
    <xf numFmtId="10" fontId="0" fillId="0" borderId="1" xfId="1" applyNumberFormat="1" applyFont="1" applyBorder="1"/>
    <xf numFmtId="164" fontId="0" fillId="0" borderId="0" xfId="1" applyNumberFormat="1" applyFont="1" applyFill="1" applyBorder="1"/>
    <xf numFmtId="0" fontId="2" fillId="0" borderId="6" xfId="0" applyFont="1" applyBorder="1"/>
    <xf numFmtId="0" fontId="0" fillId="0" borderId="12" xfId="0" applyBorder="1"/>
    <xf numFmtId="0" fontId="10" fillId="6" borderId="15" xfId="0" applyFont="1" applyFill="1" applyBorder="1"/>
    <xf numFmtId="0" fontId="0" fillId="0" borderId="16" xfId="0" applyBorder="1"/>
    <xf numFmtId="0" fontId="2" fillId="0" borderId="17" xfId="0" applyFont="1" applyBorder="1"/>
    <xf numFmtId="0" fontId="0" fillId="0" borderId="18" xfId="0" applyBorder="1"/>
    <xf numFmtId="164" fontId="2" fillId="0" borderId="0" xfId="1" applyNumberFormat="1" applyFont="1" applyBorder="1"/>
    <xf numFmtId="164" fontId="2" fillId="0" borderId="1" xfId="1" applyNumberFormat="1" applyFont="1" applyBorder="1"/>
    <xf numFmtId="0" fontId="2" fillId="0" borderId="10" xfId="0" applyFont="1" applyFill="1" applyBorder="1"/>
    <xf numFmtId="0" fontId="2" fillId="0" borderId="0" xfId="0" applyFont="1" applyFill="1" applyBorder="1"/>
    <xf numFmtId="164" fontId="0" fillId="0" borderId="0" xfId="1" applyNumberFormat="1" applyFont="1" applyBorder="1" applyAlignment="1">
      <alignment horizontal="right"/>
    </xf>
    <xf numFmtId="164" fontId="0" fillId="0" borderId="1" xfId="1" applyNumberFormat="1" applyFont="1" applyBorder="1" applyAlignment="1">
      <alignment horizontal="right"/>
    </xf>
    <xf numFmtId="164" fontId="15" fillId="2" borderId="0" xfId="1" applyNumberFormat="1" applyFont="1" applyFill="1" applyBorder="1"/>
    <xf numFmtId="164" fontId="15" fillId="2" borderId="1" xfId="1" applyNumberFormat="1" applyFont="1" applyFill="1" applyBorder="1"/>
    <xf numFmtId="164" fontId="2" fillId="0" borderId="0" xfId="1" applyNumberFormat="1" applyFont="1" applyFill="1" applyBorder="1"/>
    <xf numFmtId="164" fontId="2" fillId="0" borderId="1" xfId="1" applyNumberFormat="1" applyFont="1" applyFill="1" applyBorder="1"/>
    <xf numFmtId="164" fontId="0" fillId="0" borderId="0" xfId="1" quotePrefix="1" applyNumberFormat="1" applyFont="1" applyFill="1" applyBorder="1" applyAlignment="1">
      <alignment horizontal="center" vertical="center"/>
    </xf>
    <xf numFmtId="164" fontId="0" fillId="0" borderId="1" xfId="1" applyNumberFormat="1" applyFont="1" applyFill="1" applyBorder="1"/>
    <xf numFmtId="0" fontId="9" fillId="0" borderId="1" xfId="0" applyFont="1" applyFill="1" applyBorder="1"/>
    <xf numFmtId="0" fontId="1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165" fontId="8" fillId="0" borderId="0" xfId="0" applyNumberFormat="1" applyFont="1" applyFill="1" applyBorder="1" applyAlignment="1"/>
    <xf numFmtId="3" fontId="0" fillId="0" borderId="0" xfId="0" applyNumberFormat="1" applyFill="1" applyBorder="1"/>
    <xf numFmtId="165" fontId="8" fillId="5" borderId="1" xfId="0" applyNumberFormat="1" applyFont="1" applyFill="1" applyBorder="1" applyAlignment="1"/>
    <xf numFmtId="166" fontId="0" fillId="0" borderId="0" xfId="0" applyNumberFormat="1" applyBorder="1"/>
    <xf numFmtId="166" fontId="0" fillId="0" borderId="1" xfId="0" applyNumberFormat="1" applyBorder="1"/>
    <xf numFmtId="166" fontId="8" fillId="5" borderId="1" xfId="0" applyNumberFormat="1" applyFont="1" applyFill="1" applyBorder="1" applyAlignment="1"/>
    <xf numFmtId="165" fontId="8" fillId="0" borderId="1" xfId="0" applyNumberFormat="1" applyFont="1" applyFill="1" applyBorder="1" applyAlignment="1"/>
    <xf numFmtId="0" fontId="2" fillId="0" borderId="2" xfId="0" applyFont="1" applyBorder="1"/>
    <xf numFmtId="0" fontId="12" fillId="0" borderId="0" xfId="0" applyFont="1" applyBorder="1"/>
    <xf numFmtId="3" fontId="12" fillId="0" borderId="3" xfId="0" applyNumberFormat="1" applyFont="1" applyBorder="1"/>
    <xf numFmtId="3" fontId="12" fillId="0" borderId="0" xfId="0" applyNumberFormat="1" applyFont="1" applyBorder="1"/>
    <xf numFmtId="0" fontId="2" fillId="0" borderId="0" xfId="0" applyFont="1" applyFill="1" applyBorder="1" applyAlignment="1">
      <alignment horizontal="center" vertical="center"/>
    </xf>
    <xf numFmtId="43" fontId="0" fillId="0" borderId="0" xfId="0" applyNumberFormat="1" applyFill="1" applyBorder="1"/>
    <xf numFmtId="0" fontId="16" fillId="0" borderId="10" xfId="0" applyFont="1" applyBorder="1"/>
    <xf numFmtId="0" fontId="2" fillId="0" borderId="10" xfId="0" applyFont="1" applyBorder="1" applyAlignment="1"/>
    <xf numFmtId="0" fontId="2" fillId="0" borderId="0" xfId="0" applyFont="1" applyBorder="1" applyAlignment="1"/>
    <xf numFmtId="164" fontId="0" fillId="0" borderId="0" xfId="1" quotePrefix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vertical="center"/>
    </xf>
    <xf numFmtId="164" fontId="0" fillId="0" borderId="3" xfId="1" applyNumberFormat="1" applyFont="1" applyBorder="1"/>
    <xf numFmtId="164" fontId="0" fillId="0" borderId="12" xfId="1" applyNumberFormat="1" applyFont="1" applyBorder="1"/>
    <xf numFmtId="164" fontId="0" fillId="0" borderId="1" xfId="1" quotePrefix="1" applyNumberFormat="1" applyFont="1" applyBorder="1" applyAlignment="1">
      <alignment horizontal="center" vertical="center"/>
    </xf>
    <xf numFmtId="164" fontId="15" fillId="0" borderId="0" xfId="1" applyNumberFormat="1" applyFont="1" applyFill="1" applyBorder="1"/>
    <xf numFmtId="164" fontId="15" fillId="0" borderId="1" xfId="1" applyNumberFormat="1" applyFont="1" applyFill="1" applyBorder="1"/>
    <xf numFmtId="0" fontId="2" fillId="0" borderId="5" xfId="0" applyFont="1" applyBorder="1"/>
    <xf numFmtId="0" fontId="0" fillId="0" borderId="8" xfId="0" applyBorder="1"/>
    <xf numFmtId="0" fontId="0" fillId="0" borderId="9" xfId="0" applyBorder="1"/>
    <xf numFmtId="10" fontId="0" fillId="0" borderId="3" xfId="0" applyNumberFormat="1" applyBorder="1"/>
    <xf numFmtId="0" fontId="17" fillId="0" borderId="0" xfId="0" applyFont="1"/>
    <xf numFmtId="0" fontId="0" fillId="0" borderId="0" xfId="0" applyFont="1" applyFill="1" applyBorder="1" applyAlignment="1">
      <alignment horizontal="center" vertical="center"/>
    </xf>
    <xf numFmtId="10" fontId="2" fillId="0" borderId="0" xfId="1" applyNumberFormat="1" applyFont="1" applyBorder="1"/>
    <xf numFmtId="10" fontId="2" fillId="0" borderId="1" xfId="1" applyNumberFormat="1" applyFont="1" applyBorder="1"/>
    <xf numFmtId="0" fontId="2" fillId="0" borderId="3" xfId="0" applyFont="1" applyBorder="1"/>
    <xf numFmtId="10" fontId="2" fillId="0" borderId="3" xfId="1" applyNumberFormat="1" applyFont="1" applyBorder="1"/>
    <xf numFmtId="10" fontId="2" fillId="0" borderId="12" xfId="1" applyNumberFormat="1" applyFont="1" applyBorder="1"/>
    <xf numFmtId="0" fontId="0" fillId="0" borderId="15" xfId="0" applyBorder="1" applyAlignment="1">
      <alignment horizontal="center" vertical="center"/>
    </xf>
    <xf numFmtId="0" fontId="0" fillId="0" borderId="7" xfId="0" applyBorder="1"/>
    <xf numFmtId="0" fontId="0" fillId="10" borderId="10" xfId="0" applyFill="1" applyBorder="1"/>
    <xf numFmtId="0" fontId="0" fillId="10" borderId="0" xfId="0" applyFill="1" applyBorder="1"/>
    <xf numFmtId="0" fontId="12" fillId="10" borderId="0" xfId="0" applyFont="1" applyFill="1" applyBorder="1"/>
    <xf numFmtId="10" fontId="12" fillId="10" borderId="0" xfId="0" applyNumberFormat="1" applyFont="1" applyFill="1" applyBorder="1"/>
    <xf numFmtId="9" fontId="12" fillId="10" borderId="0" xfId="0" applyNumberFormat="1" applyFont="1" applyFill="1" applyBorder="1"/>
    <xf numFmtId="10" fontId="0" fillId="10" borderId="0" xfId="0" applyNumberFormat="1" applyFill="1" applyBorder="1"/>
    <xf numFmtId="0" fontId="0" fillId="10" borderId="1" xfId="0" applyFill="1" applyBorder="1"/>
    <xf numFmtId="0" fontId="0" fillId="9" borderId="10" xfId="0" applyFill="1" applyBorder="1"/>
    <xf numFmtId="0" fontId="0" fillId="9" borderId="0" xfId="0" applyFill="1" applyBorder="1"/>
    <xf numFmtId="0" fontId="12" fillId="9" borderId="0" xfId="0" applyFont="1" applyFill="1" applyBorder="1"/>
    <xf numFmtId="10" fontId="12" fillId="9" borderId="0" xfId="0" applyNumberFormat="1" applyFont="1" applyFill="1" applyBorder="1"/>
    <xf numFmtId="9" fontId="12" fillId="9" borderId="0" xfId="0" applyNumberFormat="1" applyFont="1" applyFill="1" applyBorder="1"/>
    <xf numFmtId="10" fontId="0" fillId="9" borderId="0" xfId="0" applyNumberFormat="1" applyFill="1" applyBorder="1"/>
    <xf numFmtId="0" fontId="0" fillId="9" borderId="1" xfId="0" applyFill="1" applyBorder="1"/>
    <xf numFmtId="164" fontId="0" fillId="11" borderId="3" xfId="1" applyNumberFormat="1" applyFont="1" applyFill="1" applyBorder="1"/>
    <xf numFmtId="164" fontId="0" fillId="11" borderId="12" xfId="1" applyNumberFormat="1" applyFont="1" applyFill="1" applyBorder="1"/>
    <xf numFmtId="0" fontId="0" fillId="8" borderId="0" xfId="0" applyFill="1"/>
    <xf numFmtId="0" fontId="0" fillId="4" borderId="0" xfId="0" applyFill="1"/>
    <xf numFmtId="43" fontId="0" fillId="0" borderId="0" xfId="1" applyFont="1" applyFill="1" applyBorder="1"/>
    <xf numFmtId="43" fontId="0" fillId="0" borderId="1" xfId="1" applyFont="1" applyFill="1" applyBorder="1"/>
    <xf numFmtId="0" fontId="0" fillId="7" borderId="0" xfId="0" applyFill="1"/>
    <xf numFmtId="164" fontId="0" fillId="0" borderId="0" xfId="1" quotePrefix="1" applyNumberFormat="1" applyFont="1" applyFill="1" applyBorder="1" applyAlignment="1">
      <alignment horizontal="right" vertical="center"/>
    </xf>
    <xf numFmtId="0" fontId="16" fillId="0" borderId="0" xfId="0" applyFont="1" applyFill="1"/>
    <xf numFmtId="43" fontId="0" fillId="0" borderId="0" xfId="0" applyNumberFormat="1" applyBorder="1"/>
    <xf numFmtId="169" fontId="25" fillId="0" borderId="0" xfId="0" applyNumberFormat="1" applyFont="1" applyFill="1" applyAlignment="1">
      <alignment horizontal="right" wrapText="1"/>
    </xf>
    <xf numFmtId="170" fontId="26" fillId="0" borderId="0" xfId="0" applyNumberFormat="1" applyFont="1" applyFill="1"/>
    <xf numFmtId="170" fontId="25" fillId="0" borderId="0" xfId="0" applyNumberFormat="1" applyFont="1" applyFill="1" applyAlignment="1">
      <alignment horizontal="right"/>
    </xf>
    <xf numFmtId="170" fontId="26" fillId="0" borderId="3" xfId="0" applyNumberFormat="1" applyFont="1" applyFill="1" applyBorder="1"/>
    <xf numFmtId="170" fontId="26" fillId="0" borderId="0" xfId="0" applyNumberFormat="1" applyFont="1" applyFill="1" applyBorder="1"/>
    <xf numFmtId="0" fontId="0" fillId="0" borderId="5" xfId="0" applyBorder="1"/>
    <xf numFmtId="0" fontId="0" fillId="0" borderId="2" xfId="0" applyFont="1" applyBorder="1"/>
    <xf numFmtId="0" fontId="2" fillId="0" borderId="3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171" fontId="26" fillId="0" borderId="3" xfId="0" applyNumberFormat="1" applyFont="1" applyFill="1" applyBorder="1"/>
    <xf numFmtId="170" fontId="25" fillId="0" borderId="3" xfId="0" applyNumberFormat="1" applyFont="1" applyFill="1" applyBorder="1"/>
    <xf numFmtId="171" fontId="25" fillId="0" borderId="3" xfId="0" applyNumberFormat="1" applyFont="1" applyFill="1" applyBorder="1"/>
    <xf numFmtId="0" fontId="26" fillId="0" borderId="3" xfId="0" applyFont="1" applyFill="1" applyBorder="1"/>
    <xf numFmtId="0" fontId="24" fillId="6" borderId="5" xfId="0" applyFont="1" applyFill="1" applyBorder="1"/>
    <xf numFmtId="0" fontId="0" fillId="13" borderId="10" xfId="0" applyFill="1" applyBorder="1"/>
    <xf numFmtId="164" fontId="12" fillId="0" borderId="3" xfId="1" applyNumberFormat="1" applyFont="1" applyBorder="1"/>
    <xf numFmtId="164" fontId="12" fillId="0" borderId="12" xfId="1" applyNumberFormat="1" applyFont="1" applyBorder="1"/>
    <xf numFmtId="164" fontId="0" fillId="14" borderId="3" xfId="1" applyNumberFormat="1" applyFont="1" applyFill="1" applyBorder="1"/>
    <xf numFmtId="164" fontId="0" fillId="11" borderId="0" xfId="1" applyNumberFormat="1" applyFont="1" applyFill="1" applyBorder="1"/>
    <xf numFmtId="3" fontId="0" fillId="0" borderId="0" xfId="0" applyNumberFormat="1" applyFill="1"/>
    <xf numFmtId="0" fontId="4" fillId="8" borderId="0" xfId="6" applyFont="1" applyFill="1"/>
    <xf numFmtId="0" fontId="20" fillId="6" borderId="5" xfId="6" applyFont="1" applyFill="1" applyBorder="1"/>
    <xf numFmtId="0" fontId="21" fillId="6" borderId="8" xfId="6" applyFont="1" applyFill="1" applyBorder="1"/>
    <xf numFmtId="0" fontId="10" fillId="6" borderId="8" xfId="6" applyFont="1" applyFill="1" applyBorder="1"/>
    <xf numFmtId="0" fontId="9" fillId="6" borderId="8" xfId="6" applyFont="1" applyFill="1" applyBorder="1"/>
    <xf numFmtId="0" fontId="9" fillId="6" borderId="9" xfId="6" applyFont="1" applyFill="1" applyBorder="1"/>
    <xf numFmtId="0" fontId="9" fillId="8" borderId="0" xfId="6" applyFont="1" applyFill="1"/>
    <xf numFmtId="0" fontId="4" fillId="8" borderId="10" xfId="6" applyFont="1" applyFill="1" applyBorder="1"/>
    <xf numFmtId="0" fontId="4" fillId="8" borderId="1" xfId="6" applyFont="1" applyFill="1" applyBorder="1"/>
    <xf numFmtId="0" fontId="4" fillId="0" borderId="1" xfId="6" applyFont="1" applyBorder="1"/>
    <xf numFmtId="0" fontId="4" fillId="6" borderId="1" xfId="6" applyFont="1" applyFill="1" applyBorder="1"/>
    <xf numFmtId="0" fontId="4" fillId="12" borderId="1" xfId="6" applyFont="1" applyFill="1" applyBorder="1"/>
    <xf numFmtId="0" fontId="23" fillId="8" borderId="10" xfId="6" applyFont="1" applyFill="1" applyBorder="1"/>
    <xf numFmtId="0" fontId="5" fillId="8" borderId="10" xfId="6" applyFont="1" applyFill="1" applyBorder="1" applyAlignment="1">
      <alignment horizontal="left"/>
    </xf>
    <xf numFmtId="0" fontId="22" fillId="8" borderId="10" xfId="6" applyFont="1" applyFill="1" applyBorder="1"/>
    <xf numFmtId="0" fontId="5" fillId="8" borderId="2" xfId="6" applyFont="1" applyFill="1" applyBorder="1" applyAlignment="1">
      <alignment horizontal="left"/>
    </xf>
    <xf numFmtId="167" fontId="4" fillId="8" borderId="3" xfId="6" quotePrefix="1" applyNumberFormat="1" applyFont="1" applyFill="1" applyBorder="1" applyAlignment="1">
      <alignment horizontal="center" vertical="center"/>
    </xf>
    <xf numFmtId="0" fontId="4" fillId="8" borderId="3" xfId="6" applyFont="1" applyFill="1" applyBorder="1"/>
    <xf numFmtId="0" fontId="6" fillId="8" borderId="3" xfId="6" applyFont="1" applyFill="1" applyBorder="1"/>
    <xf numFmtId="0" fontId="4" fillId="8" borderId="0" xfId="6" applyFont="1" applyFill="1" applyBorder="1"/>
    <xf numFmtId="0" fontId="5" fillId="8" borderId="0" xfId="6" applyFont="1" applyFill="1" applyBorder="1"/>
    <xf numFmtId="0" fontId="10" fillId="6" borderId="0" xfId="6" applyFont="1" applyFill="1" applyBorder="1"/>
    <xf numFmtId="0" fontId="9" fillId="8" borderId="0" xfId="6" applyFont="1" applyFill="1" applyBorder="1"/>
    <xf numFmtId="0" fontId="23" fillId="8" borderId="0" xfId="6" applyFont="1" applyFill="1" applyBorder="1"/>
    <xf numFmtId="0" fontId="4" fillId="0" borderId="0" xfId="6" applyFont="1" applyBorder="1"/>
    <xf numFmtId="0" fontId="4" fillId="6" borderId="0" xfId="6" applyFont="1" applyFill="1" applyBorder="1"/>
    <xf numFmtId="0" fontId="4" fillId="12" borderId="0" xfId="6" applyFont="1" applyFill="1" applyBorder="1"/>
    <xf numFmtId="14" fontId="4" fillId="8" borderId="0" xfId="6" applyNumberFormat="1" applyFont="1" applyFill="1" applyBorder="1" applyAlignment="1">
      <alignment horizontal="left"/>
    </xf>
    <xf numFmtId="0" fontId="23" fillId="8" borderId="0" xfId="6" applyFont="1" applyFill="1" applyBorder="1" applyAlignment="1">
      <alignment horizontal="left"/>
    </xf>
    <xf numFmtId="0" fontId="3" fillId="8" borderId="0" xfId="6" applyFont="1" applyFill="1" applyBorder="1"/>
    <xf numFmtId="167" fontId="4" fillId="8" borderId="0" xfId="6" quotePrefix="1" applyNumberFormat="1" applyFont="1" applyFill="1" applyBorder="1" applyAlignment="1">
      <alignment horizontal="center" vertical="center"/>
    </xf>
    <xf numFmtId="0" fontId="3" fillId="2" borderId="0" xfId="6" applyFont="1" applyFill="1" applyBorder="1"/>
    <xf numFmtId="0" fontId="25" fillId="0" borderId="0" xfId="4" applyFont="1"/>
    <xf numFmtId="0" fontId="26" fillId="0" borderId="0" xfId="4" applyFont="1"/>
    <xf numFmtId="10" fontId="31" fillId="8" borderId="19" xfId="7" applyNumberFormat="1" applyFont="1" applyFill="1" applyBorder="1"/>
    <xf numFmtId="0" fontId="26" fillId="0" borderId="0" xfId="7" applyFont="1"/>
    <xf numFmtId="171" fontId="26" fillId="0" borderId="0" xfId="4" applyNumberFormat="1" applyFont="1"/>
    <xf numFmtId="0" fontId="25" fillId="0" borderId="14" xfId="4" applyFont="1" applyBorder="1"/>
    <xf numFmtId="0" fontId="25" fillId="0" borderId="20" xfId="4" applyFont="1" applyBorder="1"/>
    <xf numFmtId="0" fontId="25" fillId="0" borderId="21" xfId="4" applyFont="1" applyBorder="1"/>
    <xf numFmtId="0" fontId="26" fillId="0" borderId="20" xfId="4" applyFont="1" applyBorder="1"/>
    <xf numFmtId="0" fontId="26" fillId="0" borderId="21" xfId="4" applyFont="1" applyBorder="1"/>
    <xf numFmtId="0" fontId="26" fillId="0" borderId="10" xfId="4" applyFont="1" applyBorder="1"/>
    <xf numFmtId="0" fontId="26" fillId="0" borderId="0" xfId="4" applyFont="1" applyAlignment="1">
      <alignment horizontal="left"/>
    </xf>
    <xf numFmtId="171" fontId="26" fillId="0" borderId="1" xfId="4" applyNumberFormat="1" applyFont="1" applyBorder="1"/>
    <xf numFmtId="0" fontId="26" fillId="0" borderId="10" xfId="4" applyFont="1" applyBorder="1" applyAlignment="1">
      <alignment horizontal="left"/>
    </xf>
    <xf numFmtId="10" fontId="32" fillId="0" borderId="0" xfId="4" applyNumberFormat="1" applyFont="1"/>
    <xf numFmtId="0" fontId="25" fillId="0" borderId="10" xfId="4" applyFont="1" applyBorder="1"/>
    <xf numFmtId="37" fontId="26" fillId="0" borderId="1" xfId="4" applyNumberFormat="1" applyFont="1" applyBorder="1"/>
    <xf numFmtId="173" fontId="31" fillId="0" borderId="22" xfId="7" applyNumberFormat="1" applyFont="1" applyBorder="1"/>
    <xf numFmtId="39" fontId="26" fillId="0" borderId="1" xfId="4" applyNumberFormat="1" applyFont="1" applyBorder="1"/>
    <xf numFmtId="174" fontId="26" fillId="0" borderId="1" xfId="7" applyNumberFormat="1" applyFont="1" applyBorder="1"/>
    <xf numFmtId="38" fontId="26" fillId="0" borderId="1" xfId="4" applyNumberFormat="1" applyFont="1" applyBorder="1"/>
    <xf numFmtId="0" fontId="26" fillId="0" borderId="2" xfId="4" applyFont="1" applyBorder="1"/>
    <xf numFmtId="0" fontId="25" fillId="0" borderId="3" xfId="4" applyFont="1" applyBorder="1" applyAlignment="1">
      <alignment horizontal="left"/>
    </xf>
    <xf numFmtId="0" fontId="26" fillId="0" borderId="3" xfId="4" applyFont="1" applyBorder="1"/>
    <xf numFmtId="174" fontId="25" fillId="0" borderId="12" xfId="7" applyNumberFormat="1" applyFont="1" applyBorder="1"/>
    <xf numFmtId="171" fontId="25" fillId="0" borderId="0" xfId="4" applyNumberFormat="1" applyFont="1"/>
    <xf numFmtId="10" fontId="26" fillId="0" borderId="0" xfId="4" applyNumberFormat="1" applyFont="1"/>
    <xf numFmtId="174" fontId="26" fillId="0" borderId="1" xfId="4" applyNumberFormat="1" applyFont="1" applyBorder="1"/>
    <xf numFmtId="0" fontId="26" fillId="0" borderId="1" xfId="4" applyFont="1" applyBorder="1"/>
    <xf numFmtId="0" fontId="26" fillId="0" borderId="5" xfId="4" applyFont="1" applyBorder="1"/>
    <xf numFmtId="0" fontId="26" fillId="0" borderId="8" xfId="4" applyFont="1" applyBorder="1" applyAlignment="1">
      <alignment horizontal="left"/>
    </xf>
    <xf numFmtId="0" fontId="26" fillId="0" borderId="8" xfId="4" applyFont="1" applyBorder="1"/>
    <xf numFmtId="0" fontId="25" fillId="0" borderId="2" xfId="4" applyFont="1" applyBorder="1"/>
    <xf numFmtId="0" fontId="26" fillId="0" borderId="12" xfId="4" applyFont="1" applyBorder="1"/>
    <xf numFmtId="0" fontId="19" fillId="0" borderId="0" xfId="4"/>
    <xf numFmtId="0" fontId="25" fillId="0" borderId="20" xfId="4" applyFont="1" applyBorder="1" applyAlignment="1">
      <alignment horizontal="right"/>
    </xf>
    <xf numFmtId="0" fontId="25" fillId="0" borderId="21" xfId="4" applyFont="1" applyBorder="1" applyAlignment="1">
      <alignment horizontal="right"/>
    </xf>
    <xf numFmtId="170" fontId="26" fillId="0" borderId="0" xfId="4" applyNumberFormat="1" applyFont="1"/>
    <xf numFmtId="38" fontId="26" fillId="0" borderId="0" xfId="4" applyNumberFormat="1" applyFont="1"/>
    <xf numFmtId="171" fontId="25" fillId="0" borderId="1" xfId="4" applyNumberFormat="1" applyFont="1" applyBorder="1"/>
    <xf numFmtId="37" fontId="26" fillId="0" borderId="0" xfId="4" applyNumberFormat="1" applyFont="1"/>
    <xf numFmtId="0" fontId="25" fillId="0" borderId="3" xfId="4" applyFont="1" applyBorder="1"/>
    <xf numFmtId="0" fontId="0" fillId="0" borderId="0" xfId="0" quotePrefix="1"/>
    <xf numFmtId="175" fontId="32" fillId="15" borderId="0" xfId="4" applyNumberFormat="1" applyFont="1" applyFill="1"/>
    <xf numFmtId="10" fontId="25" fillId="16" borderId="3" xfId="4" applyNumberFormat="1" applyFont="1" applyFill="1" applyBorder="1"/>
    <xf numFmtId="164" fontId="0" fillId="0" borderId="0" xfId="0" applyNumberFormat="1" applyFill="1"/>
    <xf numFmtId="43" fontId="0" fillId="0" borderId="1" xfId="0" applyNumberFormat="1" applyBorder="1"/>
    <xf numFmtId="164" fontId="0" fillId="0" borderId="3" xfId="0" applyNumberFormat="1" applyBorder="1"/>
    <xf numFmtId="164" fontId="0" fillId="0" borderId="12" xfId="0" applyNumberFormat="1" applyBorder="1"/>
    <xf numFmtId="43" fontId="0" fillId="0" borderId="3" xfId="0" applyNumberFormat="1" applyBorder="1"/>
    <xf numFmtId="43" fontId="0" fillId="0" borderId="12" xfId="0" applyNumberFormat="1" applyBorder="1"/>
    <xf numFmtId="164" fontId="0" fillId="0" borderId="8" xfId="0" applyNumberFormat="1" applyBorder="1"/>
    <xf numFmtId="164" fontId="0" fillId="0" borderId="9" xfId="0" applyNumberFormat="1" applyBorder="1"/>
    <xf numFmtId="0" fontId="25" fillId="0" borderId="10" xfId="0" applyFont="1" applyFill="1" applyBorder="1"/>
    <xf numFmtId="0" fontId="25" fillId="0" borderId="0" xfId="0" applyFont="1" applyFill="1" applyBorder="1" applyAlignment="1">
      <alignment wrapText="1"/>
    </xf>
    <xf numFmtId="168" fontId="25" fillId="0" borderId="0" xfId="0" applyNumberFormat="1" applyFont="1" applyFill="1" applyBorder="1" applyAlignment="1">
      <alignment horizontal="right" wrapText="1"/>
    </xf>
    <xf numFmtId="169" fontId="25" fillId="0" borderId="0" xfId="0" applyNumberFormat="1" applyFont="1" applyFill="1" applyBorder="1" applyAlignment="1">
      <alignment horizontal="right" wrapText="1"/>
    </xf>
    <xf numFmtId="169" fontId="25" fillId="0" borderId="1" xfId="0" applyNumberFormat="1" applyFont="1" applyFill="1" applyBorder="1" applyAlignment="1">
      <alignment horizontal="right" wrapText="1"/>
    </xf>
    <xf numFmtId="0" fontId="26" fillId="0" borderId="10" xfId="0" applyFont="1" applyFill="1" applyBorder="1"/>
    <xf numFmtId="0" fontId="26" fillId="0" borderId="0" xfId="0" applyFont="1" applyFill="1" applyBorder="1"/>
    <xf numFmtId="170" fontId="26" fillId="0" borderId="1" xfId="0" applyNumberFormat="1" applyFont="1" applyFill="1" applyBorder="1"/>
    <xf numFmtId="170" fontId="26" fillId="0" borderId="12" xfId="0" applyNumberFormat="1" applyFont="1" applyFill="1" applyBorder="1"/>
    <xf numFmtId="0" fontId="25" fillId="0" borderId="0" xfId="0" applyFont="1" applyFill="1" applyBorder="1"/>
    <xf numFmtId="170" fontId="25" fillId="0" borderId="0" xfId="0" applyNumberFormat="1" applyFont="1" applyFill="1" applyBorder="1" applyAlignment="1">
      <alignment horizontal="right"/>
    </xf>
    <xf numFmtId="170" fontId="25" fillId="0" borderId="1" xfId="0" applyNumberFormat="1" applyFont="1" applyFill="1" applyBorder="1" applyAlignment="1">
      <alignment horizontal="right"/>
    </xf>
    <xf numFmtId="171" fontId="26" fillId="0" borderId="0" xfId="0" applyNumberFormat="1" applyFont="1" applyFill="1" applyBorder="1"/>
    <xf numFmtId="170" fontId="25" fillId="0" borderId="0" xfId="0" applyNumberFormat="1" applyFont="1" applyFill="1" applyBorder="1"/>
    <xf numFmtId="171" fontId="25" fillId="0" borderId="12" xfId="0" applyNumberFormat="1" applyFont="1" applyFill="1" applyBorder="1"/>
    <xf numFmtId="9" fontId="27" fillId="0" borderId="0" xfId="0" applyNumberFormat="1" applyFont="1" applyFill="1" applyBorder="1"/>
    <xf numFmtId="171" fontId="26" fillId="0" borderId="1" xfId="0" applyNumberFormat="1" applyFont="1" applyFill="1" applyBorder="1"/>
    <xf numFmtId="9" fontId="28" fillId="0" borderId="2" xfId="0" applyNumberFormat="1" applyFont="1" applyFill="1" applyBorder="1"/>
    <xf numFmtId="172" fontId="29" fillId="0" borderId="3" xfId="0" applyNumberFormat="1" applyFont="1" applyFill="1" applyBorder="1"/>
    <xf numFmtId="172" fontId="29" fillId="0" borderId="12" xfId="0" applyNumberFormat="1" applyFont="1" applyFill="1" applyBorder="1"/>
    <xf numFmtId="0" fontId="26" fillId="0" borderId="2" xfId="0" applyFont="1" applyFill="1" applyBorder="1"/>
    <xf numFmtId="0" fontId="25" fillId="0" borderId="2" xfId="0" applyFont="1" applyFill="1" applyBorder="1"/>
    <xf numFmtId="176" fontId="26" fillId="0" borderId="9" xfId="4" applyNumberFormat="1" applyFont="1" applyBorder="1"/>
    <xf numFmtId="176" fontId="26" fillId="0" borderId="1" xfId="7" applyNumberFormat="1" applyFont="1" applyBorder="1"/>
    <xf numFmtId="176" fontId="25" fillId="0" borderId="12" xfId="7" applyNumberFormat="1" applyFont="1" applyBorder="1"/>
    <xf numFmtId="172" fontId="31" fillId="0" borderId="22" xfId="7" applyNumberFormat="1" applyFont="1" applyBorder="1"/>
    <xf numFmtId="176" fontId="25" fillId="0" borderId="0" xfId="4" applyNumberFormat="1" applyFont="1"/>
    <xf numFmtId="176" fontId="25" fillId="0" borderId="1" xfId="4" applyNumberFormat="1" applyFont="1" applyBorder="1"/>
    <xf numFmtId="176" fontId="26" fillId="0" borderId="0" xfId="4" applyNumberFormat="1" applyFont="1"/>
    <xf numFmtId="176" fontId="26" fillId="0" borderId="1" xfId="4" applyNumberFormat="1" applyFont="1" applyBorder="1"/>
    <xf numFmtId="177" fontId="25" fillId="0" borderId="12" xfId="4" applyNumberFormat="1" applyFont="1" applyBorder="1"/>
    <xf numFmtId="177" fontId="25" fillId="0" borderId="3" xfId="4" applyNumberFormat="1" applyFont="1" applyBorder="1"/>
    <xf numFmtId="0" fontId="4" fillId="12" borderId="3" xfId="6" applyFont="1" applyFill="1" applyBorder="1"/>
    <xf numFmtId="0" fontId="4" fillId="12" borderId="12" xfId="6" applyFont="1" applyFill="1" applyBorder="1"/>
    <xf numFmtId="0" fontId="33" fillId="12" borderId="0" xfId="3" applyFont="1" applyFill="1" applyBorder="1"/>
    <xf numFmtId="0" fontId="34" fillId="12" borderId="0" xfId="6" applyFont="1" applyFill="1" applyBorder="1"/>
    <xf numFmtId="0" fontId="33" fillId="8" borderId="0" xfId="3" applyFont="1" applyFill="1" applyBorder="1"/>
    <xf numFmtId="0" fontId="34" fillId="8" borderId="0" xfId="6" applyFont="1" applyFill="1" applyBorder="1"/>
    <xf numFmtId="0" fontId="34" fillId="12" borderId="3" xfId="6" applyFont="1" applyFill="1" applyBorder="1"/>
    <xf numFmtId="0" fontId="33" fillId="12" borderId="3" xfId="3" applyFont="1" applyFill="1" applyBorder="1"/>
    <xf numFmtId="0" fontId="11" fillId="3" borderId="0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0" fillId="6" borderId="0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/>
    </xf>
    <xf numFmtId="0" fontId="10" fillId="6" borderId="8" xfId="0" applyFont="1" applyFill="1" applyBorder="1" applyAlignment="1">
      <alignment horizontal="center"/>
    </xf>
    <xf numFmtId="0" fontId="10" fillId="6" borderId="9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8">
    <cellStyle name="Comma" xfId="1" builtinId="3"/>
    <cellStyle name="Hyperlink" xfId="3" builtinId="8"/>
    <cellStyle name="Normal" xfId="0" builtinId="0"/>
    <cellStyle name="Normal 2" xfId="4" xr:uid="{6AF5B1F0-3340-42AA-9F36-08BDEF6E0C97}"/>
    <cellStyle name="Normal 2 2" xfId="6" xr:uid="{C0B81B5E-E9CF-4F98-BEAC-C958B3B4A244}"/>
    <cellStyle name="Normal_DCF analysis" xfId="7" xr:uid="{A66CC02F-4761-4E1B-9336-714895EE1B4C}"/>
    <cellStyle name="Percent" xfId="2" builtinId="5"/>
    <cellStyle name="Percent 2" xfId="5" xr:uid="{A398C7B2-2A13-451B-970D-DE7FBB5D6A4D}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358587</xdr:colOff>
      <xdr:row>2</xdr:row>
      <xdr:rowOff>116541</xdr:rowOff>
    </xdr:from>
    <xdr:ext cx="1452283" cy="1524000"/>
    <xdr:pic>
      <xdr:nvPicPr>
        <xdr:cNvPr id="2" name="Picture 1" descr="Image result for Duiba Group">
          <a:extLst>
            <a:ext uri="{FF2B5EF4-FFF2-40B4-BE49-F238E27FC236}">
              <a16:creationId xmlns:a16="http://schemas.microsoft.com/office/drawing/2014/main" id="{CBEFAB50-9B7D-455B-81A2-63C01288C03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429" t="8938" r="11428" b="11088"/>
        <a:stretch/>
      </xdr:blipFill>
      <xdr:spPr bwMode="auto">
        <a:xfrm>
          <a:off x="762447" y="718521"/>
          <a:ext cx="1452283" cy="152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quities/Endgame/Z%20Corporate%20Finance%20Hub/Tai%20Hing/Tai%20Hing%20Financial%20Statemen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ncome Statement"/>
      <sheetName val="Balance Sheet"/>
      <sheetName val="Cash Flow Statement"/>
      <sheetName val="Financial Metrics"/>
      <sheetName val="Depreciation"/>
      <sheetName val="Operating Working Capital"/>
      <sheetName val="Debt Schedule"/>
      <sheetName val="DCF Analysis"/>
    </sheetNames>
    <sheetDataSet>
      <sheetData sheetId="0" refreshError="1"/>
      <sheetData sheetId="1">
        <row r="55">
          <cell r="G55">
            <v>4.4000000000000003E-3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4933C-C6FE-41C5-AD29-FFC7BAA4D3EB}">
  <sheetPr>
    <tabColor theme="1"/>
  </sheetPr>
  <dimension ref="A1:P31"/>
  <sheetViews>
    <sheetView tabSelected="1" zoomScaleNormal="100" workbookViewId="0">
      <selection activeCell="G8" sqref="G8"/>
    </sheetView>
  </sheetViews>
  <sheetFormatPr defaultColWidth="9" defaultRowHeight="13.2" x14ac:dyDescent="0.3"/>
  <cols>
    <col min="1" max="1" width="5.88671875" style="228" bestFit="1" customWidth="1"/>
    <col min="2" max="2" width="26.44140625" style="228" customWidth="1"/>
    <col min="3" max="3" width="13.6640625" style="228" customWidth="1"/>
    <col min="4" max="4" width="9" style="228"/>
    <col min="5" max="5" width="37.6640625" style="228" customWidth="1"/>
    <col min="6" max="6" width="9" style="228"/>
    <col min="7" max="7" width="23.88671875" style="228" bestFit="1" customWidth="1"/>
    <col min="8" max="8" width="9" style="228"/>
    <col min="9" max="9" width="21.109375" style="228" customWidth="1"/>
    <col min="10" max="11" width="9" style="228"/>
    <col min="12" max="12" width="15.88671875" style="228" customWidth="1"/>
    <col min="13" max="16384" width="9" style="228"/>
  </cols>
  <sheetData>
    <row r="1" spans="1:16" x14ac:dyDescent="0.3">
      <c r="A1" s="247"/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</row>
    <row r="2" spans="1:16" ht="34.200000000000003" x14ac:dyDescent="0.5">
      <c r="A2" s="248"/>
      <c r="B2" s="229" t="s">
        <v>352</v>
      </c>
      <c r="C2" s="230"/>
      <c r="D2" s="230"/>
      <c r="E2" s="231"/>
      <c r="F2" s="232"/>
      <c r="G2" s="232"/>
      <c r="H2" s="232"/>
      <c r="I2" s="232"/>
      <c r="J2" s="232"/>
      <c r="K2" s="232"/>
      <c r="L2" s="233"/>
      <c r="M2" s="250"/>
      <c r="N2" s="250"/>
      <c r="O2" s="250"/>
      <c r="P2" s="250"/>
    </row>
    <row r="3" spans="1:16" x14ac:dyDescent="0.3">
      <c r="A3" s="247"/>
      <c r="B3" s="235"/>
      <c r="C3" s="247"/>
      <c r="D3" s="247"/>
      <c r="E3" s="247"/>
      <c r="F3" s="247"/>
      <c r="G3" s="251" t="s">
        <v>577</v>
      </c>
      <c r="H3" s="247"/>
      <c r="I3" s="247"/>
      <c r="J3" s="247"/>
      <c r="K3" s="247"/>
      <c r="L3" s="236"/>
      <c r="M3" s="247"/>
      <c r="N3" s="247"/>
      <c r="O3" s="247"/>
      <c r="P3" s="247"/>
    </row>
    <row r="4" spans="1:16" x14ac:dyDescent="0.3">
      <c r="A4" s="247"/>
      <c r="B4" s="235"/>
      <c r="C4" s="247"/>
      <c r="D4" s="247"/>
      <c r="E4" s="247"/>
      <c r="F4" s="247"/>
      <c r="G4" s="247" t="s">
        <v>578</v>
      </c>
      <c r="H4" s="252"/>
      <c r="I4" s="252"/>
      <c r="J4" s="252"/>
      <c r="K4" s="252"/>
      <c r="L4" s="237"/>
      <c r="M4" s="247"/>
      <c r="N4" s="247"/>
      <c r="O4" s="247"/>
      <c r="P4" s="247"/>
    </row>
    <row r="5" spans="1:16" x14ac:dyDescent="0.3">
      <c r="A5" s="247"/>
      <c r="B5" s="235"/>
      <c r="C5" s="247"/>
      <c r="D5" s="247"/>
      <c r="E5" s="247"/>
      <c r="F5" s="247"/>
      <c r="G5" s="247" t="s">
        <v>579</v>
      </c>
      <c r="H5" s="247"/>
      <c r="I5" s="247"/>
      <c r="J5" s="247"/>
      <c r="K5" s="247"/>
      <c r="L5" s="236"/>
      <c r="M5" s="247"/>
      <c r="N5" s="247"/>
      <c r="O5" s="247"/>
      <c r="P5" s="247"/>
    </row>
    <row r="6" spans="1:16" x14ac:dyDescent="0.3">
      <c r="A6" s="247"/>
      <c r="B6" s="235"/>
      <c r="C6" s="247"/>
      <c r="D6" s="247"/>
      <c r="E6" s="247"/>
      <c r="F6" s="247"/>
      <c r="G6" s="247" t="s">
        <v>580</v>
      </c>
      <c r="H6" s="247"/>
      <c r="I6" s="247"/>
      <c r="J6" s="247"/>
      <c r="K6" s="247"/>
      <c r="L6" s="236"/>
      <c r="M6" s="247"/>
      <c r="N6" s="247"/>
      <c r="O6" s="247"/>
      <c r="P6" s="247"/>
    </row>
    <row r="7" spans="1:16" x14ac:dyDescent="0.3">
      <c r="A7" s="247"/>
      <c r="B7" s="235"/>
      <c r="C7" s="247"/>
      <c r="D7" s="247"/>
      <c r="E7" s="247"/>
      <c r="F7" s="247"/>
      <c r="G7" s="247" t="s">
        <v>581</v>
      </c>
      <c r="H7" s="247"/>
      <c r="I7" s="247"/>
      <c r="J7" s="247"/>
      <c r="K7" s="247"/>
      <c r="L7" s="236"/>
      <c r="M7" s="247"/>
      <c r="N7" s="247"/>
      <c r="O7" s="247"/>
      <c r="P7" s="247"/>
    </row>
    <row r="8" spans="1:16" x14ac:dyDescent="0.3">
      <c r="A8" s="247"/>
      <c r="B8" s="235"/>
      <c r="C8" s="247"/>
      <c r="D8" s="247"/>
      <c r="E8" s="247"/>
      <c r="F8" s="247"/>
      <c r="G8" s="247" t="s">
        <v>582</v>
      </c>
      <c r="H8" s="247"/>
      <c r="I8" s="247"/>
      <c r="J8" s="247"/>
      <c r="K8" s="247"/>
      <c r="L8" s="236"/>
      <c r="M8" s="247"/>
      <c r="N8" s="247"/>
      <c r="O8" s="247"/>
      <c r="P8" s="247"/>
    </row>
    <row r="9" spans="1:16" ht="13.2" customHeight="1" x14ac:dyDescent="0.3">
      <c r="A9" s="247"/>
      <c r="B9" s="235"/>
      <c r="C9" s="247"/>
      <c r="D9" s="247"/>
      <c r="E9" s="247"/>
      <c r="F9" s="247"/>
      <c r="G9" s="247"/>
      <c r="H9" s="247"/>
      <c r="I9" s="247"/>
      <c r="J9" s="247"/>
      <c r="K9" s="247"/>
      <c r="L9" s="236"/>
      <c r="M9" s="247"/>
      <c r="N9" s="247"/>
      <c r="O9" s="247"/>
      <c r="P9" s="247"/>
    </row>
    <row r="10" spans="1:16" ht="13.2" customHeight="1" x14ac:dyDescent="0.3">
      <c r="A10" s="247"/>
      <c r="B10" s="235"/>
      <c r="C10" s="247"/>
      <c r="D10" s="247"/>
      <c r="E10" s="247"/>
      <c r="F10" s="247"/>
      <c r="G10" s="249" t="s">
        <v>334</v>
      </c>
      <c r="H10" s="253"/>
      <c r="I10" s="253"/>
      <c r="J10" s="253"/>
      <c r="K10" s="253"/>
      <c r="L10" s="238"/>
      <c r="M10" s="247"/>
      <c r="N10" s="247"/>
      <c r="O10" s="247"/>
      <c r="P10" s="247"/>
    </row>
    <row r="11" spans="1:16" x14ac:dyDescent="0.3">
      <c r="A11" s="247"/>
      <c r="B11" s="235"/>
      <c r="C11" s="247"/>
      <c r="D11" s="247"/>
      <c r="E11" s="247"/>
      <c r="F11" s="247"/>
      <c r="G11" s="347" t="s">
        <v>336</v>
      </c>
      <c r="H11" s="348" t="s">
        <v>337</v>
      </c>
      <c r="I11" s="254"/>
      <c r="J11" s="254"/>
      <c r="K11" s="254"/>
      <c r="L11" s="239"/>
      <c r="M11" s="247"/>
      <c r="N11" s="247"/>
      <c r="O11" s="247"/>
      <c r="P11" s="247"/>
    </row>
    <row r="12" spans="1:16" x14ac:dyDescent="0.3">
      <c r="A12" s="247"/>
      <c r="B12" s="235"/>
      <c r="C12" s="247"/>
      <c r="D12" s="247"/>
      <c r="E12" s="247"/>
      <c r="F12" s="247"/>
      <c r="G12" s="349" t="s">
        <v>339</v>
      </c>
      <c r="H12" s="350" t="s">
        <v>340</v>
      </c>
      <c r="I12" s="247"/>
      <c r="J12" s="247"/>
      <c r="K12" s="247"/>
      <c r="L12" s="236"/>
      <c r="M12" s="247"/>
      <c r="N12" s="247"/>
      <c r="O12" s="247"/>
      <c r="P12" s="247"/>
    </row>
    <row r="13" spans="1:16" x14ac:dyDescent="0.3">
      <c r="A13" s="247"/>
      <c r="B13" s="235"/>
      <c r="C13" s="247"/>
      <c r="D13" s="247"/>
      <c r="E13" s="247"/>
      <c r="F13" s="247"/>
      <c r="G13" s="347" t="s">
        <v>342</v>
      </c>
      <c r="H13" s="348" t="s">
        <v>343</v>
      </c>
      <c r="I13" s="254"/>
      <c r="J13" s="254"/>
      <c r="K13" s="254"/>
      <c r="L13" s="239"/>
      <c r="M13" s="247"/>
      <c r="N13" s="247"/>
      <c r="O13" s="247"/>
      <c r="P13" s="247"/>
    </row>
    <row r="14" spans="1:16" x14ac:dyDescent="0.3">
      <c r="A14" s="247"/>
      <c r="B14" s="240" t="s">
        <v>576</v>
      </c>
      <c r="C14" s="247"/>
      <c r="D14" s="247"/>
      <c r="E14" s="247"/>
      <c r="F14" s="247"/>
      <c r="G14" s="349" t="s">
        <v>353</v>
      </c>
      <c r="H14" s="350" t="s">
        <v>347</v>
      </c>
      <c r="I14" s="247"/>
      <c r="J14" s="247"/>
      <c r="K14" s="247"/>
      <c r="L14" s="236"/>
      <c r="M14" s="247"/>
      <c r="N14" s="247"/>
      <c r="O14" s="247"/>
      <c r="P14" s="247"/>
    </row>
    <row r="15" spans="1:16" x14ac:dyDescent="0.3">
      <c r="A15" s="247"/>
      <c r="B15" s="241" t="s">
        <v>333</v>
      </c>
      <c r="C15" s="247" t="s">
        <v>666</v>
      </c>
      <c r="D15" s="247"/>
      <c r="E15" s="247"/>
      <c r="F15" s="247"/>
      <c r="G15" s="347" t="s">
        <v>354</v>
      </c>
      <c r="H15" s="348" t="s">
        <v>348</v>
      </c>
      <c r="I15" s="254"/>
      <c r="J15" s="254"/>
      <c r="K15" s="254"/>
      <c r="L15" s="239"/>
      <c r="M15" s="247"/>
      <c r="N15" s="247"/>
      <c r="O15" s="247"/>
      <c r="P15" s="247"/>
    </row>
    <row r="16" spans="1:16" x14ac:dyDescent="0.3">
      <c r="A16" s="247"/>
      <c r="B16" s="241" t="s">
        <v>335</v>
      </c>
      <c r="C16" s="252" t="s">
        <v>572</v>
      </c>
      <c r="D16" s="247"/>
      <c r="E16" s="247"/>
      <c r="F16" s="247"/>
      <c r="G16" s="349" t="s">
        <v>355</v>
      </c>
      <c r="H16" s="350" t="s">
        <v>345</v>
      </c>
      <c r="I16" s="247"/>
      <c r="J16" s="247"/>
      <c r="K16" s="247"/>
      <c r="L16" s="236"/>
      <c r="M16" s="247"/>
      <c r="N16" s="247"/>
      <c r="O16" s="247"/>
      <c r="P16" s="247"/>
    </row>
    <row r="17" spans="1:16" x14ac:dyDescent="0.3">
      <c r="A17" s="247"/>
      <c r="B17" s="241" t="s">
        <v>338</v>
      </c>
      <c r="C17" s="255">
        <v>43465</v>
      </c>
      <c r="D17" s="247"/>
      <c r="E17" s="256" t="s">
        <v>573</v>
      </c>
      <c r="F17" s="247"/>
      <c r="G17" s="347" t="s">
        <v>349</v>
      </c>
      <c r="H17" s="348" t="s">
        <v>350</v>
      </c>
      <c r="I17" s="254"/>
      <c r="J17" s="254"/>
      <c r="K17" s="254"/>
      <c r="L17" s="239"/>
      <c r="M17" s="247"/>
      <c r="N17" s="247"/>
      <c r="O17" s="247"/>
      <c r="P17" s="247"/>
    </row>
    <row r="18" spans="1:16" x14ac:dyDescent="0.3">
      <c r="A18" s="247"/>
      <c r="B18" s="242" t="s">
        <v>574</v>
      </c>
      <c r="C18" s="247" t="s">
        <v>575</v>
      </c>
      <c r="D18" s="247"/>
      <c r="E18" s="257" t="s">
        <v>96</v>
      </c>
      <c r="F18" s="247"/>
      <c r="G18" s="349" t="s">
        <v>356</v>
      </c>
      <c r="H18" s="350" t="s">
        <v>359</v>
      </c>
      <c r="I18" s="247"/>
      <c r="J18" s="247"/>
      <c r="K18" s="247"/>
      <c r="L18" s="236"/>
      <c r="M18" s="247"/>
      <c r="N18" s="247"/>
      <c r="O18" s="247"/>
      <c r="P18" s="247"/>
    </row>
    <row r="19" spans="1:16" x14ac:dyDescent="0.3">
      <c r="A19" s="247"/>
      <c r="B19" s="241" t="s">
        <v>341</v>
      </c>
      <c r="C19" s="258" t="s">
        <v>665</v>
      </c>
      <c r="D19" s="247"/>
      <c r="E19" s="259" t="s">
        <v>97</v>
      </c>
      <c r="F19" s="247"/>
      <c r="G19" s="347" t="s">
        <v>357</v>
      </c>
      <c r="H19" s="348" t="s">
        <v>360</v>
      </c>
      <c r="I19" s="254"/>
      <c r="J19" s="254"/>
      <c r="K19" s="254"/>
      <c r="L19" s="239"/>
      <c r="M19" s="247"/>
      <c r="N19" s="247"/>
      <c r="O19" s="247"/>
      <c r="P19" s="247"/>
    </row>
    <row r="20" spans="1:16" x14ac:dyDescent="0.3">
      <c r="A20" s="247"/>
      <c r="B20" s="241" t="s">
        <v>344</v>
      </c>
      <c r="C20" s="258">
        <v>4.91</v>
      </c>
      <c r="D20" s="247"/>
      <c r="E20" s="248" t="s">
        <v>98</v>
      </c>
      <c r="F20" s="247"/>
      <c r="G20" s="349" t="s">
        <v>358</v>
      </c>
      <c r="H20" s="350" t="s">
        <v>351</v>
      </c>
      <c r="I20" s="247"/>
      <c r="J20" s="247"/>
      <c r="K20" s="247"/>
      <c r="L20" s="236"/>
      <c r="M20" s="247"/>
      <c r="N20" s="247"/>
      <c r="O20" s="247"/>
      <c r="P20" s="247"/>
    </row>
    <row r="21" spans="1:16" x14ac:dyDescent="0.3">
      <c r="A21" s="247"/>
      <c r="B21" s="243" t="s">
        <v>346</v>
      </c>
      <c r="C21" s="244">
        <f>'DCF Analysis'!E37</f>
        <v>4.0242785318517731</v>
      </c>
      <c r="D21" s="245"/>
      <c r="E21" s="246" t="s">
        <v>99</v>
      </c>
      <c r="F21" s="245"/>
      <c r="G21" s="352" t="s">
        <v>621</v>
      </c>
      <c r="H21" s="351" t="s">
        <v>622</v>
      </c>
      <c r="I21" s="345"/>
      <c r="J21" s="345"/>
      <c r="K21" s="345"/>
      <c r="L21" s="346"/>
      <c r="M21" s="247"/>
      <c r="N21" s="247"/>
      <c r="O21" s="247"/>
      <c r="P21" s="247"/>
    </row>
    <row r="22" spans="1:16" x14ac:dyDescent="0.3">
      <c r="A22" s="247"/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  <c r="N22" s="247"/>
      <c r="O22" s="247"/>
      <c r="P22" s="247"/>
    </row>
    <row r="23" spans="1:16" x14ac:dyDescent="0.3">
      <c r="A23" s="247"/>
      <c r="B23" s="247"/>
      <c r="C23" s="247"/>
      <c r="D23" s="247"/>
      <c r="E23" s="247"/>
      <c r="F23" s="247"/>
      <c r="G23" s="247"/>
      <c r="H23" s="247"/>
      <c r="I23" s="247"/>
      <c r="J23" s="247"/>
      <c r="K23" s="247"/>
      <c r="L23" s="247"/>
      <c r="M23" s="247"/>
      <c r="N23" s="247"/>
      <c r="O23" s="247"/>
      <c r="P23" s="247"/>
    </row>
    <row r="29" spans="1:16" x14ac:dyDescent="0.3">
      <c r="A29" s="234" t="s">
        <v>243</v>
      </c>
    </row>
    <row r="30" spans="1:16" x14ac:dyDescent="0.3">
      <c r="A30" s="234" t="s">
        <v>244</v>
      </c>
    </row>
    <row r="31" spans="1:16" x14ac:dyDescent="0.3">
      <c r="A31" s="234" t="s">
        <v>245</v>
      </c>
    </row>
  </sheetData>
  <hyperlinks>
    <hyperlink ref="G11" location="'Income Statement'!A1" display="1. Income Statement" xr:uid="{8BB9B7B3-E249-4CAE-BBEA-4A5620B575FC}"/>
    <hyperlink ref="G12" location="'Balance Sheet'!A1" display="2. Balance Sheet" xr:uid="{DEE15510-85F5-43B8-ABCD-A801F9FA595B}"/>
    <hyperlink ref="G13" location="'Cash Flow Statement'!A1" display="3. Cash Flow Statement" xr:uid="{A96C3579-845D-4D1A-B1CB-89BCAE69058A}"/>
    <hyperlink ref="G19" location="'Changes in FV'!A1" display="9.Changes in FV" xr:uid="{C91408A7-B5DA-485B-85E3-B3017DD5F4E1}"/>
    <hyperlink ref="G20" location="'Trading Comparables'!A1" display="10. Trading Comparables" xr:uid="{B8F0D88A-0CC4-4A4C-958A-C33174FFB4A3}"/>
    <hyperlink ref="G18" location="'DuPont Analysis'!A1" display="8. DuPont Analysis" xr:uid="{897CE8AD-6873-4877-9F6D-57454B21A257}"/>
    <hyperlink ref="G17" location="'Financial Analysis'!A1" display="7. Financial Analysis" xr:uid="{86043F42-B806-4B07-9F42-87766042B581}"/>
    <hyperlink ref="G16" location="'PPE Schedule'!A1" display="6. PPE Schedule" xr:uid="{3D99C71E-6153-4B51-80FC-77F39FBE8938}"/>
    <hyperlink ref="G15" location="'Cost Build'!A1" display="5. Cost Drivers" xr:uid="{92C695BB-D548-425D-BB7C-DF9A5267BF9C}"/>
    <hyperlink ref="G14" location="'Revenue Build'!A1" display="4. Revenue Drivers" xr:uid="{836A15C7-F81C-48FC-88D0-26DA3D0BB2D9}"/>
    <hyperlink ref="G21" location="'DCF Analysis'!A1" display="11. DCF Analysis" xr:uid="{AEF4B7BE-A06F-444A-B804-BB1C75804878}"/>
  </hyperlink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1"/>
  <sheetViews>
    <sheetView zoomScale="85" zoomScaleNormal="85" workbookViewId="0">
      <selection activeCell="D5" sqref="D5:J5"/>
    </sheetView>
  </sheetViews>
  <sheetFormatPr defaultRowHeight="14.4" x14ac:dyDescent="0.3"/>
  <cols>
    <col min="2" max="2" width="51.44140625" customWidth="1"/>
    <col min="3" max="3" width="9.77734375" customWidth="1"/>
    <col min="4" max="10" width="11.77734375" customWidth="1"/>
    <col min="11" max="12" width="8.88671875" hidden="1" customWidth="1"/>
    <col min="14" max="14" width="0" hidden="1" customWidth="1"/>
  </cols>
  <sheetData>
    <row r="2" spans="2:13" x14ac:dyDescent="0.3">
      <c r="B2" s="31" t="s">
        <v>230</v>
      </c>
      <c r="C2" s="122"/>
      <c r="D2" s="122"/>
      <c r="E2" s="122"/>
      <c r="F2" s="122"/>
      <c r="G2" s="122"/>
      <c r="H2" s="122"/>
      <c r="I2" s="122"/>
      <c r="J2" s="123"/>
    </row>
    <row r="3" spans="2:13" x14ac:dyDescent="0.3">
      <c r="B3" s="46"/>
      <c r="C3" s="6"/>
      <c r="D3" s="6"/>
      <c r="E3" s="6"/>
      <c r="F3" s="6"/>
      <c r="G3" s="6"/>
      <c r="H3" s="6"/>
      <c r="I3" s="6"/>
      <c r="J3" s="47"/>
    </row>
    <row r="4" spans="2:13" x14ac:dyDescent="0.3">
      <c r="B4" s="46"/>
      <c r="C4" s="6"/>
      <c r="D4" s="355" t="s">
        <v>232</v>
      </c>
      <c r="E4" s="355"/>
      <c r="F4" s="355"/>
      <c r="G4" s="353" t="s">
        <v>233</v>
      </c>
      <c r="H4" s="353"/>
      <c r="I4" s="353"/>
      <c r="J4" s="354"/>
    </row>
    <row r="5" spans="2:13" ht="15" thickBot="1" x14ac:dyDescent="0.35">
      <c r="B5" s="48" t="s">
        <v>293</v>
      </c>
      <c r="C5" s="6"/>
      <c r="D5" s="26" t="s">
        <v>234</v>
      </c>
      <c r="E5" s="26" t="s">
        <v>235</v>
      </c>
      <c r="F5" s="26" t="s">
        <v>236</v>
      </c>
      <c r="G5" s="26" t="s">
        <v>114</v>
      </c>
      <c r="H5" s="26" t="s">
        <v>115</v>
      </c>
      <c r="I5" s="26" t="s">
        <v>116</v>
      </c>
      <c r="J5" s="49" t="s">
        <v>117</v>
      </c>
      <c r="L5" t="s">
        <v>32</v>
      </c>
      <c r="M5" s="18"/>
    </row>
    <row r="6" spans="2:13" x14ac:dyDescent="0.3">
      <c r="B6" s="59"/>
      <c r="C6" s="6"/>
      <c r="D6" s="28"/>
      <c r="E6" s="28"/>
      <c r="F6" s="28"/>
      <c r="G6" s="28"/>
      <c r="H6" s="28"/>
      <c r="I6" s="28"/>
      <c r="J6" s="60"/>
      <c r="M6" s="18"/>
    </row>
    <row r="7" spans="2:13" x14ac:dyDescent="0.3">
      <c r="B7" s="46" t="s">
        <v>0</v>
      </c>
      <c r="C7" s="97" t="s">
        <v>231</v>
      </c>
      <c r="D7" s="51">
        <v>51138</v>
      </c>
      <c r="E7" s="51">
        <v>645792</v>
      </c>
      <c r="F7" s="51">
        <v>1137032</v>
      </c>
      <c r="G7" s="98">
        <f>'Revenue Build'!G10</f>
        <v>2253048.5552499997</v>
      </c>
      <c r="H7" s="98">
        <f>'Revenue Build'!H10</f>
        <v>3354795.73275</v>
      </c>
      <c r="I7" s="98">
        <f>'Revenue Build'!I10</f>
        <v>5006685.2960874997</v>
      </c>
      <c r="J7" s="99">
        <f>'Revenue Build'!J10</f>
        <v>6245939.7936478108</v>
      </c>
      <c r="L7" t="s">
        <v>268</v>
      </c>
    </row>
    <row r="8" spans="2:13" x14ac:dyDescent="0.3">
      <c r="B8" s="46"/>
      <c r="C8" s="6"/>
      <c r="D8" s="51"/>
      <c r="E8" s="51"/>
      <c r="F8" s="51"/>
      <c r="G8" s="98"/>
      <c r="H8" s="98"/>
      <c r="I8" s="98"/>
      <c r="J8" s="99"/>
    </row>
    <row r="9" spans="2:13" x14ac:dyDescent="0.3">
      <c r="B9" s="58" t="s">
        <v>255</v>
      </c>
      <c r="C9" s="6"/>
      <c r="D9" s="51"/>
      <c r="E9" s="51"/>
      <c r="F9" s="51"/>
      <c r="G9" s="98"/>
      <c r="H9" s="98"/>
      <c r="I9" s="98"/>
      <c r="J9" s="99"/>
    </row>
    <row r="10" spans="2:13" x14ac:dyDescent="0.3">
      <c r="B10" s="46" t="s">
        <v>1</v>
      </c>
      <c r="C10" s="6"/>
      <c r="D10" s="51">
        <v>-11102</v>
      </c>
      <c r="E10" s="51">
        <v>-403766</v>
      </c>
      <c r="F10" s="51">
        <v>-708119</v>
      </c>
      <c r="G10" s="98">
        <f>'Cost Build'!G9</f>
        <v>-1405907.374172817</v>
      </c>
      <c r="H10" s="98">
        <f>'Cost Build'!H9</f>
        <v>-2093400.0949630551</v>
      </c>
      <c r="I10" s="98">
        <f>'Cost Build'!I9</f>
        <v>-3124182.9038837487</v>
      </c>
      <c r="J10" s="99">
        <f>'Cost Build'!J9</f>
        <v>-3897480.5021698838</v>
      </c>
      <c r="L10" t="s">
        <v>252</v>
      </c>
    </row>
    <row r="11" spans="2:13" x14ac:dyDescent="0.3">
      <c r="B11" s="46" t="s">
        <v>2</v>
      </c>
      <c r="C11" s="6"/>
      <c r="D11" s="51">
        <f t="shared" ref="D11:J11" si="0">D7+D10</f>
        <v>40036</v>
      </c>
      <c r="E11" s="51">
        <f t="shared" si="0"/>
        <v>242026</v>
      </c>
      <c r="F11" s="51">
        <f t="shared" si="0"/>
        <v>428913</v>
      </c>
      <c r="G11" s="51">
        <f t="shared" si="0"/>
        <v>847141.18107718276</v>
      </c>
      <c r="H11" s="51">
        <f t="shared" si="0"/>
        <v>1261395.6377869449</v>
      </c>
      <c r="I11" s="51">
        <f t="shared" si="0"/>
        <v>1882502.392203751</v>
      </c>
      <c r="J11" s="52">
        <f t="shared" si="0"/>
        <v>2348459.291477927</v>
      </c>
    </row>
    <row r="12" spans="2:13" x14ac:dyDescent="0.3">
      <c r="B12" s="46"/>
      <c r="C12" s="6"/>
      <c r="D12" s="51"/>
      <c r="E12" s="51"/>
      <c r="F12" s="51"/>
      <c r="G12" s="51"/>
      <c r="H12" s="51"/>
      <c r="I12" s="51"/>
      <c r="J12" s="52"/>
    </row>
    <row r="13" spans="2:13" x14ac:dyDescent="0.3">
      <c r="B13" s="58" t="s">
        <v>256</v>
      </c>
      <c r="C13" s="6"/>
      <c r="D13" s="51"/>
      <c r="E13" s="124"/>
      <c r="F13" s="51"/>
      <c r="G13" s="51"/>
      <c r="H13" s="124"/>
      <c r="I13" s="124"/>
      <c r="J13" s="125"/>
    </row>
    <row r="14" spans="2:13" x14ac:dyDescent="0.3">
      <c r="B14" s="46" t="s">
        <v>4</v>
      </c>
      <c r="C14" s="6"/>
      <c r="D14" s="51">
        <v>-8599</v>
      </c>
      <c r="E14" s="51">
        <v>-46026</v>
      </c>
      <c r="F14" s="51">
        <v>-107156</v>
      </c>
      <c r="G14" s="98">
        <f>'Cost Build'!G15</f>
        <v>-250588.05412928094</v>
      </c>
      <c r="H14" s="98">
        <f>'Cost Build'!H15</f>
        <v>-373126.32819746586</v>
      </c>
      <c r="I14" s="98">
        <f>'Cost Build'!I15</f>
        <v>-556852.41361566493</v>
      </c>
      <c r="J14" s="99">
        <f>'Cost Build'!J15</f>
        <v>-694684.49557012611</v>
      </c>
      <c r="L14" t="s">
        <v>17</v>
      </c>
    </row>
    <row r="15" spans="2:13" x14ac:dyDescent="0.3">
      <c r="B15" s="46" t="s">
        <v>175</v>
      </c>
      <c r="C15" s="6"/>
      <c r="D15" s="51">
        <v>-37517</v>
      </c>
      <c r="E15" s="51">
        <v>-82213</v>
      </c>
      <c r="F15" s="51">
        <v>-173554</v>
      </c>
      <c r="G15" s="98">
        <f>'Cost Build'!G18</f>
        <v>-315363.08212543011</v>
      </c>
      <c r="H15" s="98">
        <f>'Cost Build'!H18</f>
        <v>-469576.5298603992</v>
      </c>
      <c r="I15" s="98">
        <f>'Cost Build'!I18</f>
        <v>-700794.35373332526</v>
      </c>
      <c r="J15" s="99">
        <f>'Cost Build'!J18</f>
        <v>-874254.93760656356</v>
      </c>
    </row>
    <row r="16" spans="2:13" x14ac:dyDescent="0.3">
      <c r="B16" s="80" t="s">
        <v>153</v>
      </c>
      <c r="C16" s="8"/>
      <c r="D16" s="126">
        <v>-84255</v>
      </c>
      <c r="E16" s="126">
        <v>-18605</v>
      </c>
      <c r="F16" s="126">
        <v>-453592</v>
      </c>
      <c r="G16" s="107">
        <f>-'Changes in FV'!E13</f>
        <v>-115139.10000000009</v>
      </c>
      <c r="H16" s="107">
        <f>-'Changes in FV'!F13</f>
        <v>-126653.01000000013</v>
      </c>
      <c r="I16" s="107">
        <f>-'Changes in FV'!G13</f>
        <v>-139318.3110000001</v>
      </c>
      <c r="J16" s="108">
        <f>-'Changes in FV'!H13</f>
        <v>-153250.14210000017</v>
      </c>
      <c r="L16" t="s">
        <v>177</v>
      </c>
    </row>
    <row r="17" spans="1:14" x14ac:dyDescent="0.3">
      <c r="B17" s="46" t="s">
        <v>3</v>
      </c>
      <c r="C17" s="6"/>
      <c r="D17" s="51">
        <v>663</v>
      </c>
      <c r="E17" s="51">
        <v>3260</v>
      </c>
      <c r="F17" s="51">
        <v>13222</v>
      </c>
      <c r="G17" s="98">
        <f>'Cost Build'!G12</f>
        <v>-22261.249281946857</v>
      </c>
      <c r="H17" s="98">
        <f>'Cost Build'!H12</f>
        <v>-33147.063751794092</v>
      </c>
      <c r="I17" s="98">
        <f>'Cost Build'!I12</f>
        <v>-49468.560805204048</v>
      </c>
      <c r="J17" s="99">
        <f>'Cost Build'!J12</f>
        <v>-61713.016535942967</v>
      </c>
      <c r="L17" t="s">
        <v>95</v>
      </c>
    </row>
    <row r="18" spans="1:14" x14ac:dyDescent="0.3">
      <c r="B18" s="46" t="s">
        <v>5</v>
      </c>
      <c r="C18" s="6"/>
      <c r="D18" s="51">
        <v>0</v>
      </c>
      <c r="E18" s="51">
        <v>-79</v>
      </c>
      <c r="F18" s="51">
        <v>-1139</v>
      </c>
      <c r="G18" s="98">
        <f>'Cost Build'!G23</f>
        <v>-1266.2822671497597</v>
      </c>
      <c r="H18" s="98">
        <f>'Cost Build'!H23</f>
        <v>-1885.4979118812798</v>
      </c>
      <c r="I18" s="98">
        <f>'Cost Build'!I23</f>
        <v>-2813.9104205553031</v>
      </c>
      <c r="J18" s="99">
        <f>'Cost Build'!J23</f>
        <v>-3510.409389070468</v>
      </c>
    </row>
    <row r="19" spans="1:14" x14ac:dyDescent="0.3">
      <c r="B19" s="46" t="s">
        <v>6</v>
      </c>
      <c r="C19" s="6"/>
      <c r="D19" s="51">
        <v>0</v>
      </c>
      <c r="E19" s="51">
        <v>0</v>
      </c>
      <c r="F19" s="51">
        <v>-5772</v>
      </c>
      <c r="G19" s="98">
        <f>'Cost Build'!G26</f>
        <v>-11437.317736794566</v>
      </c>
      <c r="H19" s="98">
        <f>'Cost Build'!H26</f>
        <v>-17030.198771391661</v>
      </c>
      <c r="I19" s="98">
        <f>'Cost Build'!I26</f>
        <v>-25415.808463629037</v>
      </c>
      <c r="J19" s="99">
        <f>'Cost Build'!J26</f>
        <v>-31706.72812105127</v>
      </c>
    </row>
    <row r="20" spans="1:14" x14ac:dyDescent="0.3">
      <c r="B20" s="46"/>
      <c r="C20" s="6"/>
      <c r="D20" s="51"/>
      <c r="E20" s="51"/>
      <c r="F20" s="124"/>
      <c r="G20" s="51"/>
      <c r="H20" s="51"/>
      <c r="I20" s="51"/>
      <c r="J20" s="52"/>
    </row>
    <row r="21" spans="1:14" x14ac:dyDescent="0.3">
      <c r="B21" s="46" t="s">
        <v>7</v>
      </c>
      <c r="C21" s="6"/>
      <c r="D21" s="51">
        <f t="shared" ref="D21:J21" si="1">D11+SUM(D14:D19)</f>
        <v>-89672</v>
      </c>
      <c r="E21" s="51">
        <f t="shared" si="1"/>
        <v>98363</v>
      </c>
      <c r="F21" s="51">
        <f t="shared" si="1"/>
        <v>-299078</v>
      </c>
      <c r="G21" s="126">
        <f t="shared" si="1"/>
        <v>131086.09553658043</v>
      </c>
      <c r="H21" s="51">
        <f t="shared" si="1"/>
        <v>239977.00929401268</v>
      </c>
      <c r="I21" s="51">
        <f t="shared" si="1"/>
        <v>407839.03416537191</v>
      </c>
      <c r="J21" s="52">
        <f t="shared" si="1"/>
        <v>529339.56215517223</v>
      </c>
      <c r="L21" t="s">
        <v>254</v>
      </c>
    </row>
    <row r="22" spans="1:14" x14ac:dyDescent="0.3">
      <c r="B22" s="46" t="s">
        <v>250</v>
      </c>
      <c r="C22" s="6"/>
      <c r="D22" s="51">
        <v>2233</v>
      </c>
      <c r="E22" s="51">
        <v>-255</v>
      </c>
      <c r="F22" s="51">
        <v>7496</v>
      </c>
      <c r="G22" s="51">
        <f>-G21*(G27)</f>
        <v>-16385.761942072553</v>
      </c>
      <c r="H22" s="51">
        <f t="shared" ref="H22:J22" si="2">-H21*(H27)</f>
        <v>-29997.126161751585</v>
      </c>
      <c r="I22" s="51">
        <f t="shared" si="2"/>
        <v>-50979.879270671488</v>
      </c>
      <c r="J22" s="52">
        <f t="shared" si="2"/>
        <v>-132334.89053879306</v>
      </c>
      <c r="L22" t="s">
        <v>176</v>
      </c>
    </row>
    <row r="23" spans="1:14" x14ac:dyDescent="0.3">
      <c r="B23" s="46"/>
      <c r="C23" s="6"/>
      <c r="D23" s="51"/>
      <c r="E23" s="51"/>
      <c r="F23" s="51"/>
      <c r="G23" s="51"/>
      <c r="H23" s="51"/>
      <c r="I23" s="51"/>
      <c r="J23" s="52"/>
    </row>
    <row r="24" spans="1:14" x14ac:dyDescent="0.3">
      <c r="B24" s="46" t="s">
        <v>251</v>
      </c>
      <c r="C24" s="6"/>
      <c r="D24" s="51">
        <f>D21+D22</f>
        <v>-87439</v>
      </c>
      <c r="E24" s="51">
        <f>E21+E22</f>
        <v>98108</v>
      </c>
      <c r="F24" s="51">
        <f>F21+F22</f>
        <v>-291582</v>
      </c>
      <c r="G24" s="126">
        <f>G21+G22</f>
        <v>114700.33359450787</v>
      </c>
      <c r="H24" s="51">
        <f t="shared" ref="H24:I24" si="3">H21+H22</f>
        <v>209979.88313226111</v>
      </c>
      <c r="I24" s="51">
        <f t="shared" si="3"/>
        <v>356859.15489470039</v>
      </c>
      <c r="J24" s="52">
        <f>J21+J22</f>
        <v>397004.67161637917</v>
      </c>
      <c r="L24" t="s">
        <v>253</v>
      </c>
    </row>
    <row r="25" spans="1:14" x14ac:dyDescent="0.3">
      <c r="B25" s="46"/>
      <c r="C25" s="6"/>
      <c r="D25" s="71"/>
      <c r="E25" s="71"/>
      <c r="F25" s="71"/>
      <c r="G25" s="6"/>
      <c r="H25" s="6"/>
      <c r="I25" s="6"/>
      <c r="J25" s="47"/>
    </row>
    <row r="26" spans="1:14" ht="15" thickBot="1" x14ac:dyDescent="0.35">
      <c r="B26" s="127" t="s">
        <v>248</v>
      </c>
      <c r="C26" s="6"/>
      <c r="D26" s="6"/>
      <c r="E26" s="6"/>
      <c r="F26" s="6"/>
      <c r="G26" s="6"/>
      <c r="H26" s="6"/>
      <c r="I26" s="6"/>
      <c r="J26" s="47"/>
    </row>
    <row r="27" spans="1:14" x14ac:dyDescent="0.3">
      <c r="B27" s="53" t="s">
        <v>249</v>
      </c>
      <c r="C27" s="54"/>
      <c r="D27" s="174">
        <f>-D22/D21</f>
        <v>2.4901864573110891E-2</v>
      </c>
      <c r="E27" s="174">
        <f t="shared" ref="E27:F27" si="4">-E22/E21</f>
        <v>2.5924382135559102E-3</v>
      </c>
      <c r="F27" s="174">
        <f t="shared" si="4"/>
        <v>2.5063695758297165E-2</v>
      </c>
      <c r="G27" s="91">
        <f>12.5%</f>
        <v>0.125</v>
      </c>
      <c r="H27" s="91">
        <f t="shared" ref="H27:I27" si="5">12.5%</f>
        <v>0.125</v>
      </c>
      <c r="I27" s="91">
        <f t="shared" si="5"/>
        <v>0.125</v>
      </c>
      <c r="J27" s="92">
        <v>0.25</v>
      </c>
      <c r="L27" t="s">
        <v>172</v>
      </c>
      <c r="N27" t="s">
        <v>172</v>
      </c>
    </row>
    <row r="28" spans="1:14" x14ac:dyDescent="0.3">
      <c r="A28" s="19"/>
      <c r="B28" s="19"/>
      <c r="C28" s="19"/>
      <c r="D28" s="19"/>
      <c r="L28" t="s">
        <v>198</v>
      </c>
    </row>
    <row r="29" spans="1:14" x14ac:dyDescent="0.3">
      <c r="A29" s="19"/>
      <c r="B29" s="8" t="s">
        <v>624</v>
      </c>
      <c r="C29" s="19"/>
      <c r="D29" s="305">
        <f>D21-D19</f>
        <v>-89672</v>
      </c>
      <c r="E29" s="305">
        <f t="shared" ref="E29:J29" si="6">E21-E19</f>
        <v>98363</v>
      </c>
      <c r="F29" s="305">
        <f t="shared" si="6"/>
        <v>-293306</v>
      </c>
      <c r="G29" s="305">
        <f t="shared" si="6"/>
        <v>142523.41327337499</v>
      </c>
      <c r="H29" s="305">
        <f t="shared" si="6"/>
        <v>257007.20806540432</v>
      </c>
      <c r="I29" s="305">
        <f t="shared" si="6"/>
        <v>433254.84262900095</v>
      </c>
      <c r="J29" s="305">
        <f t="shared" si="6"/>
        <v>561046.29027622344</v>
      </c>
    </row>
    <row r="30" spans="1:14" x14ac:dyDescent="0.3">
      <c r="A30" s="19"/>
      <c r="B30" s="19"/>
      <c r="C30" s="19"/>
      <c r="D30" s="19"/>
    </row>
    <row r="31" spans="1:14" x14ac:dyDescent="0.3">
      <c r="A31" s="19"/>
      <c r="B31" s="19"/>
      <c r="C31" s="19"/>
      <c r="D31" s="19"/>
    </row>
  </sheetData>
  <mergeCells count="2">
    <mergeCell ref="G4:J4"/>
    <mergeCell ref="D4:F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55C06-2964-4E59-8537-4AB1F3AEB71B}">
  <dimension ref="A2:N59"/>
  <sheetViews>
    <sheetView zoomScaleNormal="100" workbookViewId="0">
      <selection activeCell="B67" sqref="B67"/>
    </sheetView>
  </sheetViews>
  <sheetFormatPr defaultRowHeight="14.4" x14ac:dyDescent="0.3"/>
  <cols>
    <col min="2" max="2" width="60.6640625" bestFit="1" customWidth="1"/>
    <col min="3" max="3" width="9.77734375" customWidth="1"/>
    <col min="4" max="10" width="11.77734375" customWidth="1"/>
    <col min="11" max="11" width="9" style="8" customWidth="1"/>
    <col min="12" max="12" width="0" hidden="1" customWidth="1"/>
  </cols>
  <sheetData>
    <row r="2" spans="2:12" x14ac:dyDescent="0.3">
      <c r="B2" s="31" t="s">
        <v>296</v>
      </c>
      <c r="C2" s="122"/>
      <c r="D2" s="122"/>
      <c r="E2" s="122"/>
      <c r="F2" s="122"/>
      <c r="G2" s="122"/>
      <c r="H2" s="122"/>
      <c r="I2" s="122"/>
      <c r="J2" s="123"/>
      <c r="K2" s="30"/>
    </row>
    <row r="3" spans="2:12" s="19" customFormat="1" x14ac:dyDescent="0.3">
      <c r="B3" s="114"/>
      <c r="C3" s="30"/>
      <c r="D3" s="30"/>
      <c r="E3" s="30"/>
      <c r="F3" s="30"/>
      <c r="G3" s="30"/>
      <c r="H3" s="30"/>
      <c r="I3" s="30"/>
      <c r="J3" s="145"/>
      <c r="K3" s="30"/>
    </row>
    <row r="4" spans="2:12" s="19" customFormat="1" x14ac:dyDescent="0.3">
      <c r="B4" s="46"/>
      <c r="C4" s="6"/>
      <c r="D4" s="355" t="s">
        <v>232</v>
      </c>
      <c r="E4" s="355"/>
      <c r="F4" s="355"/>
      <c r="G4" s="353" t="s">
        <v>233</v>
      </c>
      <c r="H4" s="353"/>
      <c r="I4" s="353"/>
      <c r="J4" s="354"/>
      <c r="K4" s="146"/>
    </row>
    <row r="5" spans="2:12" s="19" customFormat="1" ht="15" thickBot="1" x14ac:dyDescent="0.35">
      <c r="B5" s="48" t="s">
        <v>293</v>
      </c>
      <c r="C5" s="6"/>
      <c r="D5" s="26" t="s">
        <v>234</v>
      </c>
      <c r="E5" s="26" t="s">
        <v>235</v>
      </c>
      <c r="F5" s="26" t="s">
        <v>236</v>
      </c>
      <c r="G5" s="26" t="s">
        <v>114</v>
      </c>
      <c r="H5" s="26" t="s">
        <v>115</v>
      </c>
      <c r="I5" s="26" t="s">
        <v>116</v>
      </c>
      <c r="J5" s="49" t="s">
        <v>117</v>
      </c>
      <c r="K5" s="147"/>
      <c r="L5" s="19" t="s">
        <v>32</v>
      </c>
    </row>
    <row r="6" spans="2:12" s="19" customFormat="1" x14ac:dyDescent="0.3">
      <c r="B6" s="114"/>
      <c r="C6" s="30"/>
      <c r="D6" s="30"/>
      <c r="E6" s="30"/>
      <c r="F6" s="30"/>
      <c r="G6" s="30"/>
      <c r="H6" s="30"/>
      <c r="I6" s="30"/>
      <c r="J6" s="145"/>
      <c r="K6" s="30"/>
    </row>
    <row r="7" spans="2:12" x14ac:dyDescent="0.3">
      <c r="B7" s="58" t="s">
        <v>18</v>
      </c>
      <c r="C7" s="39"/>
      <c r="D7" s="6"/>
      <c r="E7" s="6"/>
      <c r="F7" s="6"/>
      <c r="G7" s="6"/>
      <c r="H7" s="6"/>
      <c r="I7" s="6"/>
      <c r="J7" s="47"/>
      <c r="L7" s="19"/>
    </row>
    <row r="8" spans="2:12" x14ac:dyDescent="0.3">
      <c r="B8" s="46" t="s">
        <v>19</v>
      </c>
      <c r="C8" s="6"/>
      <c r="D8" s="51">
        <v>2042</v>
      </c>
      <c r="E8" s="51">
        <v>3600</v>
      </c>
      <c r="F8" s="51">
        <v>8930</v>
      </c>
      <c r="G8" s="98">
        <f>F8-'Cash Flow Statement'!G38-'Cash Flow Statement'!G14+'Cash Flow Statement'!G13</f>
        <v>18018.341630168565</v>
      </c>
      <c r="H8" s="98">
        <f>G8-'Cash Flow Statement'!H38-'Cash Flow Statement'!H14+'Cash Flow Statement'!H13</f>
        <v>28561.425031190643</v>
      </c>
      <c r="I8" s="98">
        <f>H8-'Cash Flow Statement'!I38-'Cash Flow Statement'!I14+'Cash Flow Statement'!I13</f>
        <v>44187.825544249645</v>
      </c>
      <c r="J8" s="99">
        <f>I8-'Cash Flow Statement'!J38-'Cash Flow Statement'!J14+'Cash Flow Statement'!J13</f>
        <v>59423.352358129931</v>
      </c>
      <c r="L8" s="19"/>
    </row>
    <row r="9" spans="2:12" x14ac:dyDescent="0.3">
      <c r="B9" s="46" t="s">
        <v>20</v>
      </c>
      <c r="C9" s="6"/>
      <c r="D9" s="51">
        <v>0</v>
      </c>
      <c r="E9" s="51">
        <v>96</v>
      </c>
      <c r="F9" s="51">
        <v>894</v>
      </c>
      <c r="G9" s="51">
        <f>F9-'Cash Flow Statement'!G16-'Cash Flow Statement'!G44</f>
        <v>794</v>
      </c>
      <c r="H9" s="51">
        <f>G9-'Cash Flow Statement'!H16-'Cash Flow Statement'!H44</f>
        <v>694</v>
      </c>
      <c r="I9" s="51">
        <f>H9-'Cash Flow Statement'!I16-'Cash Flow Statement'!I44</f>
        <v>594</v>
      </c>
      <c r="J9" s="52">
        <f>I9-'Cash Flow Statement'!J16-'Cash Flow Statement'!J44</f>
        <v>494</v>
      </c>
      <c r="L9" s="19"/>
    </row>
    <row r="10" spans="2:12" x14ac:dyDescent="0.3">
      <c r="B10" s="46" t="s">
        <v>21</v>
      </c>
      <c r="C10" s="6"/>
      <c r="D10" s="51">
        <v>3346</v>
      </c>
      <c r="E10" s="51">
        <v>3133</v>
      </c>
      <c r="F10" s="51">
        <v>10877</v>
      </c>
      <c r="G10" s="51">
        <v>10877</v>
      </c>
      <c r="H10" s="51">
        <v>10877</v>
      </c>
      <c r="I10" s="51">
        <v>10877</v>
      </c>
      <c r="J10" s="52">
        <v>10877</v>
      </c>
      <c r="L10" s="19" t="s">
        <v>613</v>
      </c>
    </row>
    <row r="11" spans="2:12" x14ac:dyDescent="0.3">
      <c r="B11" s="46" t="s">
        <v>22</v>
      </c>
      <c r="C11" s="6"/>
      <c r="D11" s="51">
        <v>154</v>
      </c>
      <c r="E11" s="51">
        <v>327</v>
      </c>
      <c r="F11" s="51">
        <v>1979</v>
      </c>
      <c r="G11" s="51">
        <f>F11</f>
        <v>1979</v>
      </c>
      <c r="H11" s="51">
        <f t="shared" ref="H11:J11" si="0">G11</f>
        <v>1979</v>
      </c>
      <c r="I11" s="51">
        <f t="shared" si="0"/>
        <v>1979</v>
      </c>
      <c r="J11" s="52">
        <f t="shared" si="0"/>
        <v>1979</v>
      </c>
      <c r="L11" t="s">
        <v>620</v>
      </c>
    </row>
    <row r="12" spans="2:12" x14ac:dyDescent="0.3">
      <c r="B12" s="46" t="s">
        <v>23</v>
      </c>
      <c r="C12" s="6"/>
      <c r="D12" s="51">
        <v>27</v>
      </c>
      <c r="E12" s="51">
        <v>276</v>
      </c>
      <c r="F12" s="51">
        <v>0</v>
      </c>
      <c r="G12" s="51">
        <v>0</v>
      </c>
      <c r="H12" s="51">
        <v>0</v>
      </c>
      <c r="I12" s="51">
        <v>0</v>
      </c>
      <c r="J12" s="52">
        <v>0</v>
      </c>
      <c r="L12" s="19" t="s">
        <v>603</v>
      </c>
    </row>
    <row r="13" spans="2:12" x14ac:dyDescent="0.3">
      <c r="B13" s="73" t="s">
        <v>24</v>
      </c>
      <c r="C13" s="6"/>
      <c r="D13" s="51">
        <f>SUM(D8:D12)</f>
        <v>5569</v>
      </c>
      <c r="E13" s="51">
        <f t="shared" ref="E13:J13" si="1">SUM(E8:E12)</f>
        <v>7432</v>
      </c>
      <c r="F13" s="51">
        <f t="shared" si="1"/>
        <v>22680</v>
      </c>
      <c r="G13" s="51">
        <f t="shared" si="1"/>
        <v>31668.341630168565</v>
      </c>
      <c r="H13" s="51">
        <f t="shared" si="1"/>
        <v>42111.425031190643</v>
      </c>
      <c r="I13" s="51">
        <f t="shared" si="1"/>
        <v>57637.825544249645</v>
      </c>
      <c r="J13" s="52">
        <f t="shared" si="1"/>
        <v>72773.352358129923</v>
      </c>
      <c r="L13" s="19"/>
    </row>
    <row r="14" spans="2:12" x14ac:dyDescent="0.3">
      <c r="B14" s="46"/>
      <c r="C14" s="6"/>
      <c r="D14" s="51"/>
      <c r="E14" s="51"/>
      <c r="F14" s="51"/>
      <c r="G14" s="51"/>
      <c r="H14" s="51"/>
      <c r="I14" s="51"/>
      <c r="J14" s="52"/>
      <c r="L14" s="19"/>
    </row>
    <row r="15" spans="2:12" x14ac:dyDescent="0.3">
      <c r="B15" s="58" t="s">
        <v>25</v>
      </c>
      <c r="C15" s="39"/>
      <c r="D15" s="51"/>
      <c r="E15" s="51"/>
      <c r="F15" s="51"/>
      <c r="G15" s="51"/>
      <c r="H15" s="51"/>
      <c r="I15" s="51"/>
      <c r="J15" s="52"/>
      <c r="L15" s="19"/>
    </row>
    <row r="16" spans="2:12" x14ac:dyDescent="0.3">
      <c r="B16" s="46" t="s">
        <v>26</v>
      </c>
      <c r="C16" s="6"/>
      <c r="D16" s="51">
        <v>0</v>
      </c>
      <c r="E16" s="51">
        <v>188</v>
      </c>
      <c r="F16" s="51">
        <v>0</v>
      </c>
      <c r="G16" s="98">
        <f>F16-'Cash Flow Statement'!G25</f>
        <v>256.96764556825809</v>
      </c>
      <c r="H16" s="98">
        <f>G16-'Cash Flow Statement'!H25</f>
        <v>382.62555806816613</v>
      </c>
      <c r="I16" s="98">
        <f>H16-'Cash Flow Statement'!I25</f>
        <v>571.02903070549439</v>
      </c>
      <c r="J16" s="99">
        <f>I16-'Cash Flow Statement'!J25</f>
        <v>712.37010822284628</v>
      </c>
      <c r="L16" s="19"/>
    </row>
    <row r="17" spans="1:12" x14ac:dyDescent="0.3">
      <c r="B17" s="46" t="s">
        <v>27</v>
      </c>
      <c r="C17" s="6"/>
      <c r="D17" s="51">
        <v>4377</v>
      </c>
      <c r="E17" s="51">
        <v>14474</v>
      </c>
      <c r="F17" s="51">
        <v>114963</v>
      </c>
      <c r="G17" s="98">
        <f>F17-'Cash Flow Statement'!G23</f>
        <v>80562.324008863099</v>
      </c>
      <c r="H17" s="98">
        <f>G17-'Cash Flow Statement'!H23</f>
        <v>119957.53050930916</v>
      </c>
      <c r="I17" s="98">
        <f>H17-'Cash Flow Statement'!I23</f>
        <v>179024.19461575066</v>
      </c>
      <c r="J17" s="99">
        <f>I17-'Cash Flow Statement'!J23</f>
        <v>223336.25443765568</v>
      </c>
      <c r="L17" s="227">
        <v>223336</v>
      </c>
    </row>
    <row r="18" spans="1:12" x14ac:dyDescent="0.3">
      <c r="B18" s="46" t="s">
        <v>22</v>
      </c>
      <c r="C18" s="6"/>
      <c r="D18" s="51">
        <v>3402</v>
      </c>
      <c r="E18" s="51">
        <v>13819</v>
      </c>
      <c r="F18" s="51">
        <v>46570</v>
      </c>
      <c r="G18" s="98">
        <f>F18-'Cash Flow Statement'!G24</f>
        <v>49438.352228919881</v>
      </c>
      <c r="H18" s="98">
        <f>G18-'Cash Flow Statement'!H24</f>
        <v>73613.847648910712</v>
      </c>
      <c r="I18" s="98">
        <f>H18-'Cash Flow Statement'!I24</f>
        <v>109861.04608822451</v>
      </c>
      <c r="J18" s="99">
        <f>I18-'Cash Flow Statement'!J24</f>
        <v>137053.84679768884</v>
      </c>
      <c r="L18" s="19"/>
    </row>
    <row r="19" spans="1:12" x14ac:dyDescent="0.3">
      <c r="B19" s="80" t="s">
        <v>28</v>
      </c>
      <c r="C19" s="8"/>
      <c r="D19" s="126">
        <v>24769</v>
      </c>
      <c r="E19" s="126">
        <v>224882</v>
      </c>
      <c r="F19" s="126">
        <v>426172</v>
      </c>
      <c r="G19" s="126">
        <f>F19-'Cash Flow Statement'!G11-'Cash Flow Statement'!G15-'Cash Flow Statement'!G39+'Cash Flow Statement'!G40</f>
        <v>628672</v>
      </c>
      <c r="H19" s="126">
        <f>G19-'Cash Flow Statement'!H11-'Cash Flow Statement'!H15-'Cash Flow Statement'!H39+'Cash Flow Statement'!H40</f>
        <v>781172</v>
      </c>
      <c r="I19" s="126">
        <f>H19-'Cash Flow Statement'!I11-'Cash Flow Statement'!I15-'Cash Flow Statement'!I39+'Cash Flow Statement'!I40</f>
        <v>883672</v>
      </c>
      <c r="J19" s="144">
        <f>I19-'Cash Flow Statement'!J11-'Cash Flow Statement'!J15-'Cash Flow Statement'!J39+'Cash Flow Statement'!J40</f>
        <v>936172</v>
      </c>
      <c r="L19" s="19" t="s">
        <v>612</v>
      </c>
    </row>
    <row r="20" spans="1:12" x14ac:dyDescent="0.3">
      <c r="A20" s="200"/>
      <c r="B20" s="46" t="s">
        <v>29</v>
      </c>
      <c r="C20" s="6"/>
      <c r="D20" s="51">
        <v>12659</v>
      </c>
      <c r="E20" s="51">
        <v>11888</v>
      </c>
      <c r="F20" s="51">
        <v>0</v>
      </c>
      <c r="G20" s="98">
        <f>F20+'Cash Flow Statement'!G42+'Cash Flow Statement'!G43</f>
        <v>0</v>
      </c>
      <c r="H20" s="98">
        <f>G20+'Cash Flow Statement'!H42+'Cash Flow Statement'!H43</f>
        <v>0</v>
      </c>
      <c r="I20" s="98">
        <f>H20+'Cash Flow Statement'!I42+'Cash Flow Statement'!I43</f>
        <v>0</v>
      </c>
      <c r="J20" s="99">
        <f>I20+'Cash Flow Statement'!J42+'Cash Flow Statement'!J43</f>
        <v>0</v>
      </c>
      <c r="L20" s="19"/>
    </row>
    <row r="21" spans="1:12" x14ac:dyDescent="0.3">
      <c r="A21" s="200"/>
      <c r="B21" s="46" t="s">
        <v>30</v>
      </c>
      <c r="C21" s="6"/>
      <c r="D21" s="51">
        <v>20852</v>
      </c>
      <c r="E21" s="51">
        <v>90790</v>
      </c>
      <c r="F21" s="51">
        <v>281565</v>
      </c>
      <c r="G21" s="107">
        <f ca="1">F21+'Cash Flow Statement'!G57</f>
        <v>452492.53549027984</v>
      </c>
      <c r="H21" s="107">
        <f ca="1">G21+'Cash Flow Statement'!H57</f>
        <v>659894.82885062159</v>
      </c>
      <c r="I21" s="107">
        <f ca="1">H21+'Cash Flow Statement'!I57</f>
        <v>1075983.6388897686</v>
      </c>
      <c r="J21" s="108">
        <f ca="1">I21+'Cash Flow Statement'!J57</f>
        <v>1548277.7515393468</v>
      </c>
      <c r="L21" s="19"/>
    </row>
    <row r="22" spans="1:12" x14ac:dyDescent="0.3">
      <c r="A22" s="200"/>
      <c r="B22" s="73" t="s">
        <v>31</v>
      </c>
      <c r="C22" s="6"/>
      <c r="D22" s="51">
        <f>SUM(D16:D21)</f>
        <v>66059</v>
      </c>
      <c r="E22" s="51">
        <f>SUM(E16:E21)</f>
        <v>356041</v>
      </c>
      <c r="F22" s="51">
        <f>SUM(F16:F21)</f>
        <v>869270</v>
      </c>
      <c r="G22" s="51">
        <f t="shared" ref="G22:I22" ca="1" si="2">SUM(G16:G21)</f>
        <v>1211422.179373631</v>
      </c>
      <c r="H22" s="51">
        <f t="shared" ca="1" si="2"/>
        <v>1635020.8325669095</v>
      </c>
      <c r="I22" s="51">
        <f t="shared" ca="1" si="2"/>
        <v>2249111.9086244493</v>
      </c>
      <c r="J22" s="52">
        <f ca="1">SUM(J16:J21)</f>
        <v>2845552.2228829144</v>
      </c>
    </row>
    <row r="23" spans="1:12" x14ac:dyDescent="0.3">
      <c r="A23" s="200"/>
      <c r="B23" s="73"/>
      <c r="C23" s="6"/>
      <c r="D23" s="51"/>
      <c r="E23" s="51"/>
      <c r="F23" s="51"/>
      <c r="G23" s="51"/>
      <c r="H23" s="51"/>
      <c r="I23" s="51"/>
      <c r="J23" s="52"/>
    </row>
    <row r="24" spans="1:12" x14ac:dyDescent="0.3">
      <c r="B24" s="161" t="s">
        <v>43</v>
      </c>
      <c r="C24" s="74"/>
      <c r="D24" s="51">
        <f>D13+D22</f>
        <v>71628</v>
      </c>
      <c r="E24" s="51">
        <f t="shared" ref="E24:J24" si="3">E13+E22</f>
        <v>363473</v>
      </c>
      <c r="F24" s="51">
        <f t="shared" si="3"/>
        <v>891950</v>
      </c>
      <c r="G24" s="51">
        <f t="shared" ca="1" si="3"/>
        <v>1243090.5210037995</v>
      </c>
      <c r="H24" s="51">
        <f t="shared" ca="1" si="3"/>
        <v>1677132.2575981002</v>
      </c>
      <c r="I24" s="51">
        <f t="shared" ca="1" si="3"/>
        <v>2306749.734168699</v>
      </c>
      <c r="J24" s="52">
        <f t="shared" ca="1" si="3"/>
        <v>2918325.5752410442</v>
      </c>
    </row>
    <row r="25" spans="1:12" x14ac:dyDescent="0.3">
      <c r="B25" s="46"/>
      <c r="C25" s="6"/>
      <c r="D25" s="51"/>
      <c r="E25" s="51"/>
      <c r="F25" s="51"/>
      <c r="G25" s="51"/>
      <c r="H25" s="51"/>
      <c r="I25" s="51"/>
      <c r="J25" s="52"/>
    </row>
    <row r="26" spans="1:12" x14ac:dyDescent="0.3">
      <c r="B26" s="58" t="s">
        <v>33</v>
      </c>
      <c r="C26" s="39"/>
      <c r="D26" s="51"/>
      <c r="E26" s="51"/>
      <c r="F26" s="51"/>
      <c r="G26" s="51"/>
      <c r="H26" s="51"/>
      <c r="I26" s="51"/>
      <c r="J26" s="52"/>
      <c r="L26" s="19"/>
    </row>
    <row r="27" spans="1:12" x14ac:dyDescent="0.3">
      <c r="B27" s="46" t="s">
        <v>34</v>
      </c>
      <c r="C27" s="6"/>
      <c r="D27" s="51">
        <v>4915</v>
      </c>
      <c r="E27" s="51">
        <v>93087</v>
      </c>
      <c r="F27" s="51">
        <v>63209</v>
      </c>
      <c r="G27" s="51">
        <f>F27+'Cash Flow Statement'!G26</f>
        <v>117158.94784773474</v>
      </c>
      <c r="H27" s="51">
        <f>G27+'Cash Flow Statement'!H26</f>
        <v>174450.00791358794</v>
      </c>
      <c r="I27" s="51">
        <f>H27+'Cash Flow Statement'!I26</f>
        <v>260348.57532364572</v>
      </c>
      <c r="J27" s="52">
        <f>I27+'Cash Flow Statement'!J26</f>
        <v>324790.0418474903</v>
      </c>
      <c r="L27" s="19"/>
    </row>
    <row r="28" spans="1:12" x14ac:dyDescent="0.3">
      <c r="B28" s="46" t="s">
        <v>35</v>
      </c>
      <c r="C28" s="6"/>
      <c r="D28" s="51">
        <v>32726</v>
      </c>
      <c r="E28" s="51">
        <v>90195</v>
      </c>
      <c r="F28" s="51">
        <v>88443</v>
      </c>
      <c r="G28" s="51">
        <f>F28+'Cash Flow Statement'!G28</f>
        <v>156211.93046364633</v>
      </c>
      <c r="H28" s="51">
        <f>G28+'Cash Flow Statement'!H28</f>
        <v>232600.01055145057</v>
      </c>
      <c r="I28" s="51">
        <f>H28+'Cash Flow Statement'!I28</f>
        <v>347131.43376486097</v>
      </c>
      <c r="J28" s="52">
        <f>I28+'Cash Flow Statement'!J28</f>
        <v>433053.3891299871</v>
      </c>
      <c r="L28" s="19"/>
    </row>
    <row r="29" spans="1:12" x14ac:dyDescent="0.3">
      <c r="B29" s="46" t="s">
        <v>36</v>
      </c>
      <c r="C29" s="6"/>
      <c r="D29" s="51">
        <v>0</v>
      </c>
      <c r="E29" s="51">
        <v>27522</v>
      </c>
      <c r="F29" s="51">
        <v>20657</v>
      </c>
      <c r="G29" s="51">
        <f>F29+'Cash Flow Statement'!G27</f>
        <v>54649.309176262977</v>
      </c>
      <c r="H29" s="51">
        <f>G29+'Cash Flow Statement'!H27</f>
        <v>81372.977424323297</v>
      </c>
      <c r="I29" s="51">
        <f>H29+'Cash Flow Statement'!I27</f>
        <v>121440.74394516338</v>
      </c>
      <c r="J29" s="52">
        <f>I29+'Cash Flow Statement'!J27</f>
        <v>151499.75089707223</v>
      </c>
      <c r="L29" s="19"/>
    </row>
    <row r="30" spans="1:12" x14ac:dyDescent="0.3">
      <c r="B30" s="73" t="s">
        <v>37</v>
      </c>
      <c r="C30" s="6"/>
      <c r="D30" s="51">
        <f>SUM(D27:D29)</f>
        <v>37641</v>
      </c>
      <c r="E30" s="51">
        <f t="shared" ref="E30" si="4">SUM(E27:E29)</f>
        <v>210804</v>
      </c>
      <c r="F30" s="51">
        <f>SUM(F27:F29)</f>
        <v>172309</v>
      </c>
      <c r="G30" s="51">
        <f t="shared" ref="G30:J30" si="5">SUM(G27:G29)</f>
        <v>328020.18748764409</v>
      </c>
      <c r="H30" s="51">
        <f t="shared" si="5"/>
        <v>488422.99588936183</v>
      </c>
      <c r="I30" s="51">
        <f>SUM(I27:I29)</f>
        <v>728920.75303367013</v>
      </c>
      <c r="J30" s="52">
        <f t="shared" si="5"/>
        <v>909343.18187454971</v>
      </c>
    </row>
    <row r="31" spans="1:12" x14ac:dyDescent="0.3">
      <c r="B31" s="46"/>
      <c r="C31" s="6"/>
      <c r="D31" s="51"/>
      <c r="E31" s="51"/>
      <c r="F31" s="51"/>
      <c r="G31" s="51"/>
      <c r="H31" s="51"/>
      <c r="I31" s="51"/>
      <c r="J31" s="52"/>
      <c r="L31" s="19"/>
    </row>
    <row r="32" spans="1:12" x14ac:dyDescent="0.3">
      <c r="B32" s="58" t="s">
        <v>38</v>
      </c>
      <c r="C32" s="39"/>
      <c r="D32" s="51"/>
      <c r="E32" s="51"/>
      <c r="F32" s="51"/>
      <c r="G32" s="51"/>
      <c r="H32" s="51"/>
      <c r="I32" s="51"/>
      <c r="J32" s="52"/>
      <c r="L32" s="19"/>
    </row>
    <row r="33" spans="1:12" x14ac:dyDescent="0.3">
      <c r="B33" s="46" t="s">
        <v>39</v>
      </c>
      <c r="C33" s="6"/>
      <c r="D33" s="51">
        <v>22</v>
      </c>
      <c r="E33" s="51">
        <v>0</v>
      </c>
      <c r="F33" s="51">
        <v>248</v>
      </c>
      <c r="G33" s="51">
        <v>248</v>
      </c>
      <c r="H33" s="51">
        <v>248</v>
      </c>
      <c r="I33" s="51">
        <v>248</v>
      </c>
      <c r="J33" s="52">
        <v>248</v>
      </c>
      <c r="L33" s="19" t="s">
        <v>613</v>
      </c>
    </row>
    <row r="34" spans="1:12" x14ac:dyDescent="0.3">
      <c r="A34" t="s">
        <v>619</v>
      </c>
      <c r="B34" s="46" t="s">
        <v>40</v>
      </c>
      <c r="C34" s="6"/>
      <c r="D34" s="51">
        <v>126075</v>
      </c>
      <c r="E34" s="51">
        <v>144680</v>
      </c>
      <c r="F34" s="51">
        <v>1151391</v>
      </c>
      <c r="G34" s="98">
        <f>F34+'Cash Flow Statement'!G18+'Cash Flow Statement'!G48</f>
        <v>1266530.1000000001</v>
      </c>
      <c r="H34" s="98">
        <f>G34+'Cash Flow Statement'!H18+'Cash Flow Statement'!H48</f>
        <v>1393183.1100000003</v>
      </c>
      <c r="I34" s="98">
        <f>H34+'Cash Flow Statement'!I18+'Cash Flow Statement'!I48</f>
        <v>1532501.4210000006</v>
      </c>
      <c r="J34" s="99">
        <f>I34+'Cash Flow Statement'!J18+'Cash Flow Statement'!J48</f>
        <v>1685751.5631000008</v>
      </c>
      <c r="L34" s="19" t="s">
        <v>611</v>
      </c>
    </row>
    <row r="35" spans="1:12" x14ac:dyDescent="0.3">
      <c r="B35" s="73" t="s">
        <v>41</v>
      </c>
      <c r="C35" s="6"/>
      <c r="D35" s="51">
        <f>SUM(D33:D34)</f>
        <v>126097</v>
      </c>
      <c r="E35" s="51">
        <f t="shared" ref="E35" si="6">SUM(E33:E34)</f>
        <v>144680</v>
      </c>
      <c r="F35" s="51">
        <f>SUM(F33:F34)</f>
        <v>1151639</v>
      </c>
      <c r="G35" s="51">
        <f t="shared" ref="G35:H35" si="7">SUM(G33:G34)</f>
        <v>1266778.1000000001</v>
      </c>
      <c r="H35" s="51">
        <f t="shared" si="7"/>
        <v>1393431.1100000003</v>
      </c>
      <c r="I35" s="51">
        <f>SUM(I33:I34)</f>
        <v>1532749.4210000006</v>
      </c>
      <c r="J35" s="52">
        <f>SUM(J33:J34)</f>
        <v>1685999.5631000008</v>
      </c>
      <c r="L35" s="19"/>
    </row>
    <row r="36" spans="1:12" x14ac:dyDescent="0.3">
      <c r="B36" s="73"/>
      <c r="C36" s="6"/>
      <c r="D36" s="51"/>
      <c r="E36" s="51"/>
      <c r="F36" s="51"/>
      <c r="G36" s="51"/>
      <c r="H36" s="51"/>
      <c r="I36" s="51"/>
      <c r="J36" s="52"/>
      <c r="L36" s="19"/>
    </row>
    <row r="37" spans="1:12" x14ac:dyDescent="0.3">
      <c r="B37" s="161" t="s">
        <v>44</v>
      </c>
      <c r="C37" s="74"/>
      <c r="D37" s="51">
        <f>D30+D35</f>
        <v>163738</v>
      </c>
      <c r="E37" s="51">
        <f t="shared" ref="E37:J37" si="8">E30+E35</f>
        <v>355484</v>
      </c>
      <c r="F37" s="51">
        <f>F30+F35</f>
        <v>1323948</v>
      </c>
      <c r="G37" s="51">
        <f>G30+G35</f>
        <v>1594798.2874876442</v>
      </c>
      <c r="H37" s="51">
        <f t="shared" si="8"/>
        <v>1881854.1058893623</v>
      </c>
      <c r="I37" s="51">
        <f>I30+I35</f>
        <v>2261670.1740336707</v>
      </c>
      <c r="J37" s="52">
        <f t="shared" si="8"/>
        <v>2595342.7449745508</v>
      </c>
      <c r="L37" s="19"/>
    </row>
    <row r="38" spans="1:12" x14ac:dyDescent="0.3">
      <c r="B38" s="46"/>
      <c r="C38" s="6"/>
      <c r="D38" s="51"/>
      <c r="E38" s="51"/>
      <c r="F38" s="51"/>
      <c r="G38" s="51"/>
      <c r="H38" s="51"/>
      <c r="I38" s="51"/>
      <c r="J38" s="52"/>
    </row>
    <row r="39" spans="1:12" x14ac:dyDescent="0.3">
      <c r="B39" s="58" t="s">
        <v>42</v>
      </c>
      <c r="C39" s="6"/>
      <c r="D39" s="51"/>
      <c r="E39" s="51"/>
      <c r="F39" s="51"/>
      <c r="G39" s="51"/>
      <c r="H39" s="51"/>
      <c r="I39" s="51"/>
      <c r="J39" s="52"/>
    </row>
    <row r="40" spans="1:12" x14ac:dyDescent="0.3">
      <c r="B40" s="59" t="s">
        <v>324</v>
      </c>
      <c r="C40" s="6"/>
      <c r="D40" s="51">
        <v>0</v>
      </c>
      <c r="E40" s="51">
        <v>0</v>
      </c>
      <c r="F40" s="8">
        <v>44</v>
      </c>
      <c r="G40" s="51">
        <f>F40</f>
        <v>44</v>
      </c>
      <c r="H40" s="51">
        <f t="shared" ref="H40:J40" si="9">G40</f>
        <v>44</v>
      </c>
      <c r="I40" s="51">
        <f t="shared" si="9"/>
        <v>44</v>
      </c>
      <c r="J40" s="52">
        <f t="shared" si="9"/>
        <v>44</v>
      </c>
      <c r="L40" s="19" t="s">
        <v>617</v>
      </c>
    </row>
    <row r="41" spans="1:12" x14ac:dyDescent="0.3">
      <c r="B41" s="59" t="s">
        <v>330</v>
      </c>
      <c r="C41" s="6"/>
      <c r="D41" s="51">
        <v>0</v>
      </c>
      <c r="E41" s="51">
        <v>0</v>
      </c>
      <c r="F41" s="149">
        <v>32175</v>
      </c>
      <c r="G41" s="51">
        <f>F41</f>
        <v>32175</v>
      </c>
      <c r="H41" s="51">
        <f t="shared" ref="H41:J41" si="10">G41</f>
        <v>32175</v>
      </c>
      <c r="I41" s="51">
        <f t="shared" si="10"/>
        <v>32175</v>
      </c>
      <c r="J41" s="52">
        <f t="shared" si="10"/>
        <v>32175</v>
      </c>
      <c r="L41" s="19" t="s">
        <v>617</v>
      </c>
    </row>
    <row r="42" spans="1:12" x14ac:dyDescent="0.3">
      <c r="B42" s="59" t="s">
        <v>325</v>
      </c>
      <c r="C42" s="6"/>
      <c r="D42" s="71">
        <v>7286</v>
      </c>
      <c r="E42" s="51">
        <v>9277</v>
      </c>
      <c r="F42" s="149">
        <v>-118597</v>
      </c>
      <c r="G42" s="51">
        <f>F42</f>
        <v>-118597</v>
      </c>
      <c r="H42" s="51">
        <f t="shared" ref="H42:J42" si="11">G42</f>
        <v>-118597</v>
      </c>
      <c r="I42" s="51">
        <f t="shared" si="11"/>
        <v>-118597</v>
      </c>
      <c r="J42" s="52">
        <f t="shared" si="11"/>
        <v>-118597</v>
      </c>
      <c r="L42" s="19" t="s">
        <v>617</v>
      </c>
    </row>
    <row r="43" spans="1:12" x14ac:dyDescent="0.3">
      <c r="B43" s="59" t="s">
        <v>326</v>
      </c>
      <c r="C43" s="6"/>
      <c r="D43" s="51">
        <v>0</v>
      </c>
      <c r="E43" s="51">
        <v>10803</v>
      </c>
      <c r="F43" s="149">
        <v>25125</v>
      </c>
      <c r="G43" s="51">
        <f>F43</f>
        <v>25125</v>
      </c>
      <c r="H43" s="51">
        <f t="shared" ref="H43:J43" si="12">G43</f>
        <v>25125</v>
      </c>
      <c r="I43" s="51">
        <f t="shared" si="12"/>
        <v>25125</v>
      </c>
      <c r="J43" s="52">
        <f t="shared" si="12"/>
        <v>25125</v>
      </c>
      <c r="L43" s="19" t="s">
        <v>617</v>
      </c>
    </row>
    <row r="44" spans="1:12" x14ac:dyDescent="0.3">
      <c r="B44" s="59" t="s">
        <v>327</v>
      </c>
      <c r="C44" s="6"/>
      <c r="D44" s="51">
        <v>-99396</v>
      </c>
      <c r="E44" s="71">
        <v>-12091</v>
      </c>
      <c r="F44" s="71">
        <v>-337173</v>
      </c>
      <c r="G44" s="51">
        <f ca="1">F44+'Cash Flow Statement'!G8+'Cash Flow Statement'!G10+'Cash Flow Statement'!G31+'Cash Flow Statement'!G32+'Cash Flow Statement'!G33+'Cash Flow Statement'!G50+'Cash Flow Statement'!G58</f>
        <v>-256882.76648384449</v>
      </c>
      <c r="H44" s="51">
        <f ca="1">G44+'Cash Flow Statement'!H8+'Cash Flow Statement'!H10+'Cash Flow Statement'!H31+'Cash Flow Statement'!H32+'Cash Flow Statement'!H33+'Cash Flow Statement'!H50+'Cash Flow Statement'!H58</f>
        <v>-109896.84829126173</v>
      </c>
      <c r="I44" s="51">
        <f ca="1">H44+'Cash Flow Statement'!I8+'Cash Flow Statement'!I10+'Cash Flow Statement'!I31+'Cash Flow Statement'!I32+'Cash Flow Statement'!I33+'Cash Flow Statement'!I50+'Cash Flow Statement'!I58</f>
        <v>139904.56013502862</v>
      </c>
      <c r="J44" s="52">
        <f ca="1">I44+'Cash Flow Statement'!J8+'Cash Flow Statement'!J10+'Cash Flow Statement'!J31+'Cash Flow Statement'!J32+'Cash Flow Statement'!J33+'Cash Flow Statement'!J50+'Cash Flow Statement'!J58</f>
        <v>417807.83026649395</v>
      </c>
      <c r="L44" s="19" t="s">
        <v>617</v>
      </c>
    </row>
    <row r="45" spans="1:12" x14ac:dyDescent="0.3">
      <c r="B45" s="59" t="s">
        <v>331</v>
      </c>
      <c r="C45" s="6"/>
      <c r="D45" s="51">
        <v>0</v>
      </c>
      <c r="E45" s="51">
        <v>0</v>
      </c>
      <c r="F45" s="71">
        <v>-33572</v>
      </c>
      <c r="G45" s="51">
        <f>F45</f>
        <v>-33572</v>
      </c>
      <c r="H45" s="51">
        <f t="shared" ref="H45:J45" si="13">G45</f>
        <v>-33572</v>
      </c>
      <c r="I45" s="51">
        <f t="shared" si="13"/>
        <v>-33572</v>
      </c>
      <c r="J45" s="52">
        <f t="shared" si="13"/>
        <v>-33572</v>
      </c>
      <c r="L45" s="19" t="s">
        <v>617</v>
      </c>
    </row>
    <row r="46" spans="1:12" x14ac:dyDescent="0.3">
      <c r="B46" s="59" t="s">
        <v>328</v>
      </c>
      <c r="C46" s="6"/>
      <c r="D46" s="51">
        <f t="shared" ref="D46:J46" si="14">SUM(D40:D45)</f>
        <v>-92110</v>
      </c>
      <c r="E46" s="51">
        <f t="shared" si="14"/>
        <v>7989</v>
      </c>
      <c r="F46" s="51">
        <f>SUM(F40:F45)</f>
        <v>-431998</v>
      </c>
      <c r="G46" s="126">
        <f ca="1">SUM(G40:G45)</f>
        <v>-351707.76648384449</v>
      </c>
      <c r="H46" s="126">
        <f t="shared" ca="1" si="14"/>
        <v>-204721.84829126173</v>
      </c>
      <c r="I46" s="126">
        <f t="shared" ca="1" si="14"/>
        <v>45079.560135028616</v>
      </c>
      <c r="J46" s="144">
        <f t="shared" ca="1" si="14"/>
        <v>322982.83026649395</v>
      </c>
      <c r="L46" s="19" t="s">
        <v>329</v>
      </c>
    </row>
    <row r="47" spans="1:12" x14ac:dyDescent="0.3">
      <c r="B47" s="59"/>
      <c r="C47" s="6"/>
      <c r="D47" s="51"/>
      <c r="E47" s="51"/>
      <c r="F47" s="51"/>
      <c r="G47" s="51"/>
      <c r="H47" s="51"/>
      <c r="I47" s="51"/>
      <c r="J47" s="52"/>
      <c r="L47" s="19"/>
    </row>
    <row r="48" spans="1:12" x14ac:dyDescent="0.3">
      <c r="B48" s="53" t="s">
        <v>323</v>
      </c>
      <c r="C48" s="54"/>
      <c r="D48" s="166">
        <f t="shared" ref="D48:J48" si="15">D24-D37</f>
        <v>-92110</v>
      </c>
      <c r="E48" s="166">
        <f t="shared" si="15"/>
        <v>7989</v>
      </c>
      <c r="F48" s="166">
        <f t="shared" si="15"/>
        <v>-431998</v>
      </c>
      <c r="G48" s="198">
        <f t="shared" ca="1" si="15"/>
        <v>-351707.76648384472</v>
      </c>
      <c r="H48" s="198">
        <f t="shared" ca="1" si="15"/>
        <v>-204721.84829126205</v>
      </c>
      <c r="I48" s="198">
        <f t="shared" ca="1" si="15"/>
        <v>45079.560135028325</v>
      </c>
      <c r="J48" s="199">
        <f t="shared" ca="1" si="15"/>
        <v>322982.83026649337</v>
      </c>
      <c r="L48" s="206"/>
    </row>
    <row r="49" spans="1:14" x14ac:dyDescent="0.3">
      <c r="B49" s="6"/>
      <c r="C49" s="6"/>
      <c r="D49" s="51"/>
      <c r="E49" s="51"/>
      <c r="F49" s="51"/>
      <c r="G49" s="126"/>
      <c r="H49" s="126"/>
      <c r="I49" s="126"/>
      <c r="J49" s="126"/>
      <c r="L49" s="206"/>
    </row>
    <row r="50" spans="1:14" x14ac:dyDescent="0.3">
      <c r="B50" s="8" t="s">
        <v>616</v>
      </c>
      <c r="C50" s="6"/>
      <c r="D50" s="51">
        <f>D24-D37-D46</f>
        <v>0</v>
      </c>
      <c r="E50" s="51">
        <f t="shared" ref="E50:G50" si="16">E24-E37-E46</f>
        <v>0</v>
      </c>
      <c r="F50" s="51">
        <f t="shared" si="16"/>
        <v>0</v>
      </c>
      <c r="G50" s="51">
        <f t="shared" ca="1" si="16"/>
        <v>0</v>
      </c>
      <c r="H50" s="51">
        <f t="shared" ref="H50:J50" ca="1" si="17">H24-H37-H46</f>
        <v>-3.2014213502407074E-10</v>
      </c>
      <c r="I50" s="51">
        <f t="shared" ca="1" si="17"/>
        <v>-2.9103830456733704E-10</v>
      </c>
      <c r="J50" s="51">
        <f t="shared" ca="1" si="17"/>
        <v>-5.8207660913467407E-10</v>
      </c>
      <c r="L50" s="206"/>
    </row>
    <row r="51" spans="1:14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L51" s="8"/>
      <c r="M51" s="6"/>
      <c r="N51" s="6"/>
    </row>
    <row r="52" spans="1:14" x14ac:dyDescent="0.3">
      <c r="A52" s="6"/>
      <c r="B52" s="31" t="s">
        <v>195</v>
      </c>
      <c r="C52" s="43"/>
      <c r="D52" s="43"/>
      <c r="E52" s="43"/>
      <c r="F52" s="43"/>
      <c r="G52" s="43"/>
      <c r="H52" s="43"/>
      <c r="I52" s="43"/>
      <c r="J52" s="89"/>
      <c r="K52" s="36"/>
      <c r="L52" s="36"/>
      <c r="M52" s="6"/>
      <c r="N52" s="6"/>
    </row>
    <row r="53" spans="1:14" x14ac:dyDescent="0.3">
      <c r="A53" s="6"/>
      <c r="B53" s="46"/>
      <c r="C53" s="6"/>
      <c r="D53" s="6"/>
      <c r="E53" s="6"/>
      <c r="F53" s="6"/>
      <c r="G53" s="6"/>
      <c r="H53" s="6"/>
      <c r="I53" s="6"/>
      <c r="J53" s="47"/>
      <c r="L53" s="8"/>
      <c r="M53" s="6"/>
      <c r="N53" s="6"/>
    </row>
    <row r="54" spans="1:14" x14ac:dyDescent="0.3">
      <c r="A54" s="6"/>
      <c r="B54" s="46" t="s">
        <v>0</v>
      </c>
      <c r="C54" s="97" t="s">
        <v>231</v>
      </c>
      <c r="D54" s="98">
        <f>'Income Statement'!D7</f>
        <v>51138</v>
      </c>
      <c r="E54" s="98">
        <f>'Income Statement'!E7</f>
        <v>645792</v>
      </c>
      <c r="F54" s="98">
        <f>'Income Statement'!F7</f>
        <v>1137032</v>
      </c>
      <c r="G54" s="98">
        <f>'Income Statement'!G7</f>
        <v>2253048.5552499997</v>
      </c>
      <c r="H54" s="98">
        <f>'Income Statement'!H7</f>
        <v>3354795.73275</v>
      </c>
      <c r="I54" s="98">
        <f>'Income Statement'!I7</f>
        <v>5006685.2960874997</v>
      </c>
      <c r="J54" s="99">
        <f>'Income Statement'!J7</f>
        <v>6245939.7936478108</v>
      </c>
      <c r="L54" s="8"/>
      <c r="M54" s="6"/>
      <c r="N54" s="6"/>
    </row>
    <row r="55" spans="1:14" x14ac:dyDescent="0.3">
      <c r="A55" s="6"/>
      <c r="B55" s="53" t="s">
        <v>1</v>
      </c>
      <c r="C55" s="54"/>
      <c r="D55" s="223">
        <f>-'Income Statement'!D10</f>
        <v>11102</v>
      </c>
      <c r="E55" s="223">
        <f>-'Income Statement'!E10</f>
        <v>403766</v>
      </c>
      <c r="F55" s="223">
        <f>-'Income Statement'!F10</f>
        <v>708119</v>
      </c>
      <c r="G55" s="223">
        <f>-'Income Statement'!G10</f>
        <v>1405907.374172817</v>
      </c>
      <c r="H55" s="223">
        <f>-'Income Statement'!H10</f>
        <v>2093400.0949630551</v>
      </c>
      <c r="I55" s="223">
        <f>-'Income Statement'!I10</f>
        <v>3124182.9038837487</v>
      </c>
      <c r="J55" s="224">
        <f>-'Income Statement'!J10</f>
        <v>3897480.5021698838</v>
      </c>
      <c r="L55" s="8"/>
      <c r="M55" s="6"/>
      <c r="N55" s="6"/>
    </row>
    <row r="57" spans="1:14" x14ac:dyDescent="0.3">
      <c r="B57" s="171" t="s">
        <v>583</v>
      </c>
      <c r="C57" s="172"/>
      <c r="D57" s="172"/>
      <c r="E57" s="172"/>
      <c r="F57" s="172"/>
      <c r="G57" s="172"/>
      <c r="H57" s="172"/>
      <c r="I57" s="172"/>
      <c r="J57" s="173"/>
    </row>
    <row r="58" spans="1:14" x14ac:dyDescent="0.3">
      <c r="B58" s="46" t="s">
        <v>251</v>
      </c>
      <c r="C58" s="97" t="s">
        <v>231</v>
      </c>
      <c r="D58" s="51">
        <f>'Income Statement'!D24</f>
        <v>-87439</v>
      </c>
      <c r="E58" s="51">
        <f>'Income Statement'!E24</f>
        <v>98108</v>
      </c>
      <c r="F58" s="51">
        <f>'Income Statement'!F24</f>
        <v>-291582</v>
      </c>
      <c r="G58" s="51">
        <f>'Income Statement'!G24</f>
        <v>114700.33359450787</v>
      </c>
      <c r="H58" s="51">
        <f>'Income Statement'!H24</f>
        <v>209979.88313226111</v>
      </c>
      <c r="I58" s="51">
        <f>'Income Statement'!I24</f>
        <v>356859.15489470039</v>
      </c>
      <c r="J58" s="52">
        <f>'Income Statement'!J24</f>
        <v>397004.67161637917</v>
      </c>
    </row>
    <row r="59" spans="1:14" x14ac:dyDescent="0.3">
      <c r="B59" s="53" t="s">
        <v>332</v>
      </c>
      <c r="C59" s="54"/>
      <c r="D59" s="166"/>
      <c r="E59" s="166">
        <v>10803</v>
      </c>
      <c r="F59" s="166">
        <v>14322</v>
      </c>
      <c r="G59" s="166">
        <f>0.1*G58</f>
        <v>11470.033359450788</v>
      </c>
      <c r="H59" s="166">
        <f t="shared" ref="H59:J59" si="18">0.1*H58</f>
        <v>20997.988313226113</v>
      </c>
      <c r="I59" s="166">
        <f t="shared" si="18"/>
        <v>35685.91548947004</v>
      </c>
      <c r="J59" s="167">
        <f t="shared" si="18"/>
        <v>39700.46716163792</v>
      </c>
    </row>
  </sheetData>
  <mergeCells count="2">
    <mergeCell ref="D4:F4"/>
    <mergeCell ref="G4:J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CDD88-D990-4ED9-8E98-F8BD63F9FD74}">
  <dimension ref="A1:XFC70"/>
  <sheetViews>
    <sheetView zoomScale="85" zoomScaleNormal="85" workbookViewId="0">
      <selection activeCell="B52" sqref="B52"/>
    </sheetView>
  </sheetViews>
  <sheetFormatPr defaultRowHeight="14.4" x14ac:dyDescent="0.3"/>
  <cols>
    <col min="2" max="2" width="66.6640625" bestFit="1" customWidth="1"/>
    <col min="3" max="3" width="9.77734375" customWidth="1"/>
    <col min="4" max="4" width="10.5546875" bestFit="1" customWidth="1"/>
    <col min="5" max="5" width="11.6640625" bestFit="1" customWidth="1"/>
    <col min="6" max="6" width="13.109375" bestFit="1" customWidth="1"/>
    <col min="7" max="10" width="11.6640625" bestFit="1" customWidth="1"/>
    <col min="11" max="12" width="8.88671875" hidden="1" customWidth="1"/>
    <col min="13" max="13" width="0" hidden="1" customWidth="1"/>
  </cols>
  <sheetData>
    <row r="1" spans="2:14" x14ac:dyDescent="0.3">
      <c r="K1" s="19"/>
    </row>
    <row r="2" spans="2:14" x14ac:dyDescent="0.3">
      <c r="B2" s="221" t="s">
        <v>298</v>
      </c>
      <c r="C2" s="31"/>
      <c r="D2" s="122"/>
      <c r="E2" s="122"/>
      <c r="F2" s="122"/>
      <c r="G2" s="122"/>
      <c r="H2" s="122"/>
      <c r="I2" s="122"/>
      <c r="J2" s="123"/>
      <c r="K2" s="30"/>
    </row>
    <row r="3" spans="2:14" x14ac:dyDescent="0.3">
      <c r="B3" s="114"/>
      <c r="C3" s="36"/>
      <c r="D3" s="30"/>
      <c r="E3" s="30"/>
      <c r="F3" s="30"/>
      <c r="G3" s="30"/>
      <c r="H3" s="30"/>
      <c r="I3" s="30"/>
      <c r="J3" s="145"/>
      <c r="K3" s="30"/>
    </row>
    <row r="4" spans="2:14" x14ac:dyDescent="0.3">
      <c r="B4" s="46"/>
      <c r="C4" s="6"/>
      <c r="D4" s="355" t="s">
        <v>232</v>
      </c>
      <c r="E4" s="355"/>
      <c r="F4" s="355"/>
      <c r="G4" s="353" t="s">
        <v>233</v>
      </c>
      <c r="H4" s="353"/>
      <c r="I4" s="353"/>
      <c r="J4" s="354"/>
      <c r="K4" s="146"/>
    </row>
    <row r="5" spans="2:14" ht="15" thickBot="1" x14ac:dyDescent="0.35">
      <c r="B5" s="48" t="s">
        <v>293</v>
      </c>
      <c r="C5" s="27"/>
      <c r="D5" s="26" t="s">
        <v>234</v>
      </c>
      <c r="E5" s="26" t="s">
        <v>235</v>
      </c>
      <c r="F5" s="26" t="s">
        <v>236</v>
      </c>
      <c r="G5" s="26" t="s">
        <v>114</v>
      </c>
      <c r="H5" s="26" t="s">
        <v>115</v>
      </c>
      <c r="I5" s="26" t="s">
        <v>116</v>
      </c>
      <c r="J5" s="49" t="s">
        <v>117</v>
      </c>
      <c r="K5" s="147"/>
      <c r="L5" s="176" t="s">
        <v>32</v>
      </c>
    </row>
    <row r="6" spans="2:14" x14ac:dyDescent="0.3">
      <c r="B6" s="59"/>
      <c r="C6" s="27"/>
      <c r="D6" s="28"/>
      <c r="E6" s="28"/>
      <c r="F6" s="28"/>
      <c r="G6" s="28"/>
      <c r="H6" s="28"/>
      <c r="I6" s="28"/>
      <c r="J6" s="60"/>
      <c r="K6" s="147"/>
    </row>
    <row r="7" spans="2:14" x14ac:dyDescent="0.3">
      <c r="B7" s="162" t="s">
        <v>62</v>
      </c>
      <c r="C7" s="163"/>
      <c r="D7" s="6"/>
      <c r="E7" s="6"/>
      <c r="F7" s="6"/>
      <c r="G7" s="6"/>
      <c r="H7" s="6"/>
      <c r="I7" s="6"/>
      <c r="J7" s="47"/>
      <c r="K7" s="19"/>
    </row>
    <row r="8" spans="2:14" x14ac:dyDescent="0.3">
      <c r="B8" s="46" t="s">
        <v>63</v>
      </c>
      <c r="C8" s="97" t="s">
        <v>231</v>
      </c>
      <c r="D8" s="98">
        <f>'Income Statement'!D21</f>
        <v>-89672</v>
      </c>
      <c r="E8" s="98">
        <f>'Income Statement'!E21</f>
        <v>98363</v>
      </c>
      <c r="F8" s="98">
        <f>'Income Statement'!F21</f>
        <v>-299078</v>
      </c>
      <c r="G8" s="98">
        <f>'Income Statement'!G21</f>
        <v>131086.09553658043</v>
      </c>
      <c r="H8" s="98">
        <f>'Income Statement'!H21</f>
        <v>239977.00929401268</v>
      </c>
      <c r="I8" s="98">
        <f>'Income Statement'!I21</f>
        <v>407839.03416537191</v>
      </c>
      <c r="J8" s="99">
        <f>'Income Statement'!J21</f>
        <v>529339.56215517223</v>
      </c>
      <c r="K8" s="19"/>
      <c r="M8" s="6"/>
      <c r="N8" s="6"/>
    </row>
    <row r="9" spans="2:14" x14ac:dyDescent="0.3">
      <c r="B9" s="46" t="s">
        <v>64</v>
      </c>
      <c r="C9" s="6"/>
      <c r="D9" s="51"/>
      <c r="E9" s="51"/>
      <c r="F9" s="51"/>
      <c r="G9" s="51"/>
      <c r="H9" s="51"/>
      <c r="I9" s="51"/>
      <c r="J9" s="52"/>
      <c r="K9" s="19"/>
      <c r="M9" s="6"/>
      <c r="N9" s="6"/>
    </row>
    <row r="10" spans="2:14" x14ac:dyDescent="0.3">
      <c r="B10" s="46" t="s">
        <v>65</v>
      </c>
      <c r="C10" s="6"/>
      <c r="D10" s="51">
        <v>-52</v>
      </c>
      <c r="E10" s="51">
        <v>-112</v>
      </c>
      <c r="F10" s="51">
        <v>-2462</v>
      </c>
      <c r="G10" s="107">
        <f ca="1">-'Debt Schedule'!G15</f>
        <v>-2262.4626774513995</v>
      </c>
      <c r="H10" s="107">
        <f ca="1">-'Debt Schedule'!H15</f>
        <v>-3299.4741442531081</v>
      </c>
      <c r="I10" s="107">
        <f ca="1">-'Debt Schedule'!I15</f>
        <v>-5379.9181944488437</v>
      </c>
      <c r="J10" s="108">
        <f ca="1">-'Debt Schedule'!J15</f>
        <v>-7741.3887576967336</v>
      </c>
      <c r="L10" s="201" t="s">
        <v>306</v>
      </c>
      <c r="M10" s="6"/>
      <c r="N10" s="6"/>
    </row>
    <row r="11" spans="2:14" x14ac:dyDescent="0.3">
      <c r="B11" s="46" t="s">
        <v>66</v>
      </c>
      <c r="C11" s="6"/>
      <c r="D11" s="51">
        <v>-389</v>
      </c>
      <c r="E11" s="51">
        <v>-2001</v>
      </c>
      <c r="F11" s="51">
        <v>-8021</v>
      </c>
      <c r="G11" s="226">
        <v>-2000</v>
      </c>
      <c r="H11" s="126">
        <v>-2000</v>
      </c>
      <c r="I11" s="126">
        <v>-2000</v>
      </c>
      <c r="J11" s="144">
        <v>-2000</v>
      </c>
      <c r="L11" t="s">
        <v>322</v>
      </c>
      <c r="M11" s="6"/>
      <c r="N11" s="6"/>
    </row>
    <row r="12" spans="2:14" x14ac:dyDescent="0.3">
      <c r="B12" s="46" t="s">
        <v>67</v>
      </c>
      <c r="C12" s="6"/>
      <c r="D12" s="164">
        <v>0</v>
      </c>
      <c r="E12" s="164">
        <v>0</v>
      </c>
      <c r="F12" s="51">
        <v>-153</v>
      </c>
      <c r="G12" s="126">
        <v>0</v>
      </c>
      <c r="H12" s="126">
        <v>0</v>
      </c>
      <c r="I12" s="126">
        <v>0</v>
      </c>
      <c r="J12" s="144">
        <v>0</v>
      </c>
      <c r="L12" t="s">
        <v>308</v>
      </c>
      <c r="M12" s="6"/>
      <c r="N12" s="6"/>
    </row>
    <row r="13" spans="2:14" x14ac:dyDescent="0.3">
      <c r="B13" s="46" t="s">
        <v>68</v>
      </c>
      <c r="C13" s="6"/>
      <c r="D13" s="164">
        <v>0</v>
      </c>
      <c r="E13" s="51">
        <v>51</v>
      </c>
      <c r="F13" s="51">
        <v>947</v>
      </c>
      <c r="G13" s="126">
        <v>0</v>
      </c>
      <c r="H13" s="126">
        <v>0</v>
      </c>
      <c r="I13" s="126">
        <v>0</v>
      </c>
      <c r="J13" s="144">
        <v>0</v>
      </c>
      <c r="L13" t="s">
        <v>307</v>
      </c>
      <c r="M13" s="6"/>
      <c r="N13" s="6"/>
    </row>
    <row r="14" spans="2:14" x14ac:dyDescent="0.3">
      <c r="B14" s="46" t="s">
        <v>69</v>
      </c>
      <c r="C14" s="6"/>
      <c r="D14" s="51">
        <v>405</v>
      </c>
      <c r="E14" s="51">
        <v>1029</v>
      </c>
      <c r="F14" s="51">
        <v>3081</v>
      </c>
      <c r="G14" s="98">
        <f>'PPE Schedule'!G64</f>
        <v>5101.4672</v>
      </c>
      <c r="H14" s="98">
        <f>'PPE Schedule'!H64</f>
        <v>10585.582468633627</v>
      </c>
      <c r="I14" s="98">
        <f>'PPE Schedule'!I64</f>
        <v>15905.945764500217</v>
      </c>
      <c r="J14" s="99">
        <f>'PPE Schedule'!J64</f>
        <v>24101.704259140526</v>
      </c>
      <c r="L14" t="s">
        <v>299</v>
      </c>
      <c r="M14" s="6"/>
      <c r="N14" s="6"/>
    </row>
    <row r="15" spans="2:14" x14ac:dyDescent="0.3">
      <c r="B15" s="46" t="s">
        <v>70</v>
      </c>
      <c r="C15" s="6"/>
      <c r="D15" s="51">
        <v>-149</v>
      </c>
      <c r="E15" s="51">
        <v>-501</v>
      </c>
      <c r="F15" s="51">
        <v>-2128</v>
      </c>
      <c r="G15" s="226">
        <v>-500</v>
      </c>
      <c r="H15" s="126">
        <v>-500</v>
      </c>
      <c r="I15" s="126">
        <v>-500</v>
      </c>
      <c r="J15" s="144">
        <v>-500</v>
      </c>
      <c r="L15" t="s">
        <v>322</v>
      </c>
      <c r="M15" s="6"/>
      <c r="N15" s="6"/>
    </row>
    <row r="16" spans="2:14" x14ac:dyDescent="0.3">
      <c r="B16" s="46" t="s">
        <v>71</v>
      </c>
      <c r="C16" s="6"/>
      <c r="D16" s="164">
        <v>0</v>
      </c>
      <c r="E16" s="51">
        <v>3</v>
      </c>
      <c r="F16" s="51">
        <v>102</v>
      </c>
      <c r="G16" s="126">
        <v>100</v>
      </c>
      <c r="H16" s="126">
        <v>100</v>
      </c>
      <c r="I16" s="126">
        <v>100</v>
      </c>
      <c r="J16" s="144">
        <v>100</v>
      </c>
      <c r="L16" t="s">
        <v>309</v>
      </c>
      <c r="M16" s="6"/>
      <c r="N16" s="6"/>
    </row>
    <row r="17" spans="2:14 16383:16383" x14ac:dyDescent="0.3">
      <c r="B17" s="46" t="s">
        <v>72</v>
      </c>
      <c r="C17" s="6"/>
      <c r="D17" s="164">
        <v>0</v>
      </c>
      <c r="E17" s="164">
        <v>0</v>
      </c>
      <c r="F17" s="51">
        <v>5772</v>
      </c>
      <c r="G17" s="126">
        <v>0</v>
      </c>
      <c r="H17" s="126">
        <v>0</v>
      </c>
      <c r="I17" s="126">
        <v>0</v>
      </c>
      <c r="J17" s="144">
        <v>0</v>
      </c>
      <c r="M17" s="6" t="s">
        <v>604</v>
      </c>
      <c r="N17" s="6"/>
    </row>
    <row r="18" spans="2:14 16383:16383" x14ac:dyDescent="0.3">
      <c r="B18" s="222" t="s">
        <v>73</v>
      </c>
      <c r="C18" s="6"/>
      <c r="D18" s="51">
        <v>84255</v>
      </c>
      <c r="E18" s="51">
        <v>18605</v>
      </c>
      <c r="F18" s="51">
        <v>453592</v>
      </c>
      <c r="G18" s="51">
        <f>-'Income Statement'!G16</f>
        <v>115139.10000000009</v>
      </c>
      <c r="H18" s="51">
        <f>-'Income Statement'!H16</f>
        <v>126653.01000000013</v>
      </c>
      <c r="I18" s="51">
        <f>-'Income Statement'!I16</f>
        <v>139318.3110000001</v>
      </c>
      <c r="J18" s="52">
        <f>-'Income Statement'!J16</f>
        <v>153250.14210000017</v>
      </c>
      <c r="L18" t="s">
        <v>300</v>
      </c>
      <c r="M18" t="s">
        <v>608</v>
      </c>
      <c r="N18" s="6"/>
    </row>
    <row r="19" spans="2:14 16383:16383" x14ac:dyDescent="0.3">
      <c r="B19" s="46" t="s">
        <v>74</v>
      </c>
      <c r="C19" s="6"/>
      <c r="D19" s="51">
        <v>293</v>
      </c>
      <c r="E19" s="51">
        <v>1991</v>
      </c>
      <c r="F19" s="51">
        <v>11662</v>
      </c>
      <c r="G19" s="164">
        <v>0</v>
      </c>
      <c r="H19" s="164">
        <v>0</v>
      </c>
      <c r="I19" s="164">
        <v>0</v>
      </c>
      <c r="J19" s="168">
        <v>0</v>
      </c>
      <c r="M19" s="6"/>
      <c r="N19" s="6"/>
      <c r="XFC19" s="164"/>
    </row>
    <row r="20" spans="2:14 16383:16383" x14ac:dyDescent="0.3">
      <c r="B20" s="46" t="s">
        <v>75</v>
      </c>
      <c r="C20" s="6"/>
      <c r="D20" s="164">
        <v>0</v>
      </c>
      <c r="E20" s="164">
        <v>0</v>
      </c>
      <c r="F20" s="51">
        <v>613</v>
      </c>
      <c r="G20" s="164">
        <v>0</v>
      </c>
      <c r="H20" s="164">
        <v>0</v>
      </c>
      <c r="I20" s="164">
        <v>0</v>
      </c>
      <c r="J20" s="168">
        <v>0</v>
      </c>
      <c r="L20" t="s">
        <v>310</v>
      </c>
      <c r="M20" s="6"/>
      <c r="N20" s="6"/>
    </row>
    <row r="21" spans="2:14 16383:16383" x14ac:dyDescent="0.3">
      <c r="B21" s="73" t="s">
        <v>86</v>
      </c>
      <c r="C21" s="74"/>
      <c r="D21" s="51">
        <f>SUM(D8:D20)</f>
        <v>-5309</v>
      </c>
      <c r="E21" s="51">
        <f t="shared" ref="E21:J21" si="0">SUM(E8:E20)</f>
        <v>117428</v>
      </c>
      <c r="F21" s="51">
        <f>SUM(F8:F20)</f>
        <v>163927</v>
      </c>
      <c r="G21" s="51">
        <f t="shared" ca="1" si="0"/>
        <v>246664.20005912913</v>
      </c>
      <c r="H21" s="51">
        <f t="shared" ca="1" si="0"/>
        <v>371516.12761839334</v>
      </c>
      <c r="I21" s="51">
        <f t="shared" ca="1" si="0"/>
        <v>555283.37273542339</v>
      </c>
      <c r="J21" s="52">
        <f t="shared" ca="1" si="0"/>
        <v>696550.01975661621</v>
      </c>
      <c r="M21" s="6"/>
      <c r="N21" s="6"/>
    </row>
    <row r="22" spans="2:14 16383:16383" x14ac:dyDescent="0.3">
      <c r="B22" s="46"/>
      <c r="C22" s="6"/>
      <c r="D22" s="51"/>
      <c r="E22" s="51"/>
      <c r="F22" s="51"/>
      <c r="G22" s="51"/>
      <c r="H22" s="51"/>
      <c r="I22" s="51"/>
      <c r="J22" s="52"/>
      <c r="M22" s="6"/>
      <c r="N22" s="6"/>
    </row>
    <row r="23" spans="2:14 16383:16383" x14ac:dyDescent="0.3">
      <c r="B23" s="46" t="s">
        <v>76</v>
      </c>
      <c r="C23" s="6"/>
      <c r="D23" s="51">
        <v>-4142</v>
      </c>
      <c r="E23" s="51">
        <v>-10097</v>
      </c>
      <c r="F23" s="51">
        <v>-101102</v>
      </c>
      <c r="G23" s="98">
        <f>-(OWC!G7-OWC!F7)</f>
        <v>34400.675991136901</v>
      </c>
      <c r="H23" s="98">
        <f>-(OWC!H7-OWC!G7)</f>
        <v>-39395.20650044606</v>
      </c>
      <c r="I23" s="98">
        <f>-(OWC!I7-OWC!H7)</f>
        <v>-59066.664106441502</v>
      </c>
      <c r="J23" s="99">
        <f>-(OWC!J7-OWC!I7)</f>
        <v>-44312.059821905015</v>
      </c>
      <c r="L23" t="s">
        <v>303</v>
      </c>
      <c r="M23" s="6" t="s">
        <v>618</v>
      </c>
      <c r="N23" s="6"/>
    </row>
    <row r="24" spans="2:14 16383:16383" x14ac:dyDescent="0.3">
      <c r="B24" s="46" t="s">
        <v>77</v>
      </c>
      <c r="C24" s="6"/>
      <c r="D24" s="51">
        <v>-2604</v>
      </c>
      <c r="E24" s="51">
        <v>-10298</v>
      </c>
      <c r="F24" s="51">
        <v>-34368</v>
      </c>
      <c r="G24" s="98">
        <f>-(OWC!G9-OWC!F9)</f>
        <v>-2868.3522289198809</v>
      </c>
      <c r="H24" s="98">
        <f>-(OWC!H9-OWC!G9)</f>
        <v>-24175.495419990832</v>
      </c>
      <c r="I24" s="98">
        <f>-(OWC!I9-OWC!H9)</f>
        <v>-36247.198439313797</v>
      </c>
      <c r="J24" s="99">
        <f>-(OWC!J9-OWC!I9)</f>
        <v>-27192.800709464325</v>
      </c>
      <c r="M24" s="6" t="s">
        <v>618</v>
      </c>
      <c r="N24" s="6"/>
    </row>
    <row r="25" spans="2:14 16383:16383" x14ac:dyDescent="0.3">
      <c r="B25" s="46" t="s">
        <v>78</v>
      </c>
      <c r="C25" s="6"/>
      <c r="D25" s="164">
        <v>0</v>
      </c>
      <c r="E25" s="51">
        <v>-188</v>
      </c>
      <c r="F25" s="51">
        <v>188</v>
      </c>
      <c r="G25" s="98">
        <f>-(OWC!G5-OWC!F5)</f>
        <v>-256.96764556825809</v>
      </c>
      <c r="H25" s="98">
        <f>-(OWC!H5-OWC!G5)</f>
        <v>-125.65791249990804</v>
      </c>
      <c r="I25" s="98">
        <f>-(OWC!I5-OWC!H5)</f>
        <v>-188.40347263732826</v>
      </c>
      <c r="J25" s="99">
        <f>-(OWC!J5-OWC!I5)</f>
        <v>-141.34107751735189</v>
      </c>
      <c r="M25" s="6" t="s">
        <v>618</v>
      </c>
      <c r="N25" s="6"/>
    </row>
    <row r="26" spans="2:14 16383:16383" x14ac:dyDescent="0.3">
      <c r="B26" s="46" t="s">
        <v>79</v>
      </c>
      <c r="C26" s="6"/>
      <c r="D26" s="51">
        <v>4914</v>
      </c>
      <c r="E26" s="51">
        <v>88172</v>
      </c>
      <c r="F26" s="51">
        <v>-29878</v>
      </c>
      <c r="G26" s="98">
        <f>OWC!G12-OWC!F12</f>
        <v>53949.947847734744</v>
      </c>
      <c r="H26" s="98">
        <f>OWC!H12-OWC!G12</f>
        <v>57291.060065853191</v>
      </c>
      <c r="I26" s="98">
        <f>OWC!I12-OWC!H12</f>
        <v>85898.567410057789</v>
      </c>
      <c r="J26" s="99">
        <f>OWC!J12-OWC!I12</f>
        <v>64441.466523844574</v>
      </c>
      <c r="M26" s="6" t="s">
        <v>618</v>
      </c>
    </row>
    <row r="27" spans="2:14 16383:16383" x14ac:dyDescent="0.3">
      <c r="B27" s="46" t="s">
        <v>80</v>
      </c>
      <c r="C27" s="6"/>
      <c r="D27" s="164">
        <v>0</v>
      </c>
      <c r="E27" s="51">
        <v>27522</v>
      </c>
      <c r="F27" s="51">
        <v>-6865</v>
      </c>
      <c r="G27" s="98">
        <f>OWC!G14-OWC!F14</f>
        <v>33992.309176262977</v>
      </c>
      <c r="H27" s="98">
        <f>OWC!H14-OWC!G14</f>
        <v>26723.668248060319</v>
      </c>
      <c r="I27" s="98">
        <f>OWC!I14-OWC!H14</f>
        <v>40067.766520840087</v>
      </c>
      <c r="J27" s="99">
        <f>OWC!J14-OWC!I14</f>
        <v>30059.006951908843</v>
      </c>
      <c r="M27" s="6" t="s">
        <v>618</v>
      </c>
    </row>
    <row r="28" spans="2:14 16383:16383" x14ac:dyDescent="0.3">
      <c r="B28" s="46" t="s">
        <v>81</v>
      </c>
      <c r="C28" s="6"/>
      <c r="D28" s="51">
        <v>23448</v>
      </c>
      <c r="E28" s="51">
        <v>57469</v>
      </c>
      <c r="F28" s="51">
        <v>-1752</v>
      </c>
      <c r="G28" s="98">
        <f>OWC!G16-OWC!F16</f>
        <v>67768.930463646335</v>
      </c>
      <c r="H28" s="98">
        <f>OWC!H16-OWC!G16</f>
        <v>76388.080087804236</v>
      </c>
      <c r="I28" s="98">
        <f>OWC!I16-OWC!H16</f>
        <v>114531.42321341039</v>
      </c>
      <c r="J28" s="99">
        <f>OWC!J16-OWC!I16</f>
        <v>85921.955365126138</v>
      </c>
      <c r="L28" t="s">
        <v>304</v>
      </c>
      <c r="M28" s="6" t="s">
        <v>618</v>
      </c>
    </row>
    <row r="29" spans="2:14 16383:16383" x14ac:dyDescent="0.3">
      <c r="B29" s="73" t="s">
        <v>82</v>
      </c>
      <c r="C29" s="74"/>
      <c r="D29" s="51">
        <f>D21+SUM(D23:D28)</f>
        <v>16307</v>
      </c>
      <c r="E29" s="51">
        <f t="shared" ref="E29" si="1">E21+SUM(E23:E28)</f>
        <v>270008</v>
      </c>
      <c r="F29" s="51">
        <f>F21+SUM(F23:F28)</f>
        <v>-9850</v>
      </c>
      <c r="G29" s="51">
        <f ca="1">G21+SUM(G23:G28)</f>
        <v>433650.74366342195</v>
      </c>
      <c r="H29" s="51">
        <f ca="1">H21+SUM(H23:H28)</f>
        <v>468222.5761871743</v>
      </c>
      <c r="I29" s="51">
        <f ca="1">I21+SUM(I23:I28)</f>
        <v>700278.86386133905</v>
      </c>
      <c r="J29" s="52">
        <f ca="1">J21+SUM(J23:J28)</f>
        <v>805326.24698860908</v>
      </c>
    </row>
    <row r="30" spans="2:14 16383:16383" x14ac:dyDescent="0.3">
      <c r="B30" s="73"/>
      <c r="C30" s="74"/>
      <c r="D30" s="71"/>
      <c r="E30" s="71"/>
      <c r="F30" s="71"/>
      <c r="G30" s="6"/>
      <c r="H30" s="6"/>
      <c r="I30" s="6"/>
      <c r="J30" s="47"/>
    </row>
    <row r="31" spans="2:14 16383:16383" x14ac:dyDescent="0.3">
      <c r="B31" s="46" t="s">
        <v>83</v>
      </c>
      <c r="C31" s="6"/>
      <c r="D31" s="51">
        <v>52</v>
      </c>
      <c r="E31" s="51">
        <v>112</v>
      </c>
      <c r="F31" s="126">
        <v>2462</v>
      </c>
      <c r="G31" s="107">
        <f ca="1">'Debt Schedule'!G15</f>
        <v>2262.4626774513995</v>
      </c>
      <c r="H31" s="107">
        <f ca="1">'Debt Schedule'!H15</f>
        <v>3299.4741442531081</v>
      </c>
      <c r="I31" s="107">
        <f ca="1">'Debt Schedule'!I15</f>
        <v>5379.9181944488437</v>
      </c>
      <c r="J31" s="108">
        <f ca="1">'Debt Schedule'!J15</f>
        <v>7741.3887576967336</v>
      </c>
      <c r="L31" s="204"/>
    </row>
    <row r="32" spans="2:14 16383:16383" x14ac:dyDescent="0.3">
      <c r="B32" s="46" t="s">
        <v>85</v>
      </c>
      <c r="C32" s="6"/>
      <c r="D32" s="164">
        <v>0</v>
      </c>
      <c r="E32" s="51">
        <v>-356</v>
      </c>
      <c r="F32" s="126">
        <v>-184</v>
      </c>
      <c r="G32" s="126">
        <f>'Income Statement'!G22</f>
        <v>-16385.761942072553</v>
      </c>
      <c r="H32" s="126">
        <f>'Income Statement'!H22</f>
        <v>-29997.126161751585</v>
      </c>
      <c r="I32" s="126">
        <f>'Income Statement'!I22</f>
        <v>-50979.879270671488</v>
      </c>
      <c r="J32" s="144">
        <f>'Income Statement'!J22</f>
        <v>-132334.89053879306</v>
      </c>
      <c r="L32" s="204"/>
      <c r="M32" t="s">
        <v>605</v>
      </c>
    </row>
    <row r="33" spans="2:13" x14ac:dyDescent="0.3">
      <c r="B33" s="46" t="s">
        <v>84</v>
      </c>
      <c r="C33" s="6"/>
      <c r="D33" s="164">
        <v>0</v>
      </c>
      <c r="E33" s="164">
        <v>0</v>
      </c>
      <c r="F33" s="126">
        <v>149</v>
      </c>
      <c r="G33" s="202">
        <v>0</v>
      </c>
      <c r="H33" s="202">
        <v>0</v>
      </c>
      <c r="I33" s="202">
        <v>0</v>
      </c>
      <c r="J33" s="203">
        <v>0</v>
      </c>
      <c r="L33" s="204"/>
    </row>
    <row r="34" spans="2:13" x14ac:dyDescent="0.3">
      <c r="B34" s="73" t="s">
        <v>87</v>
      </c>
      <c r="C34" s="74"/>
      <c r="D34" s="51">
        <f>D29+SUM(D31:D33)</f>
        <v>16359</v>
      </c>
      <c r="E34" s="51">
        <f>E29+SUM(E31:E33)</f>
        <v>269764</v>
      </c>
      <c r="F34" s="126">
        <f>F29+SUM(F31:F33)</f>
        <v>-7423</v>
      </c>
      <c r="G34" s="126">
        <f ca="1">G29+SUM(G31:G33)</f>
        <v>419527.44439880078</v>
      </c>
      <c r="H34" s="126">
        <f t="shared" ref="H34:J34" ca="1" si="2">H29+SUM(H31:H33)</f>
        <v>441524.9241696758</v>
      </c>
      <c r="I34" s="126">
        <f t="shared" ca="1" si="2"/>
        <v>654678.90278511646</v>
      </c>
      <c r="J34" s="144">
        <f t="shared" ca="1" si="2"/>
        <v>680732.74520751275</v>
      </c>
    </row>
    <row r="35" spans="2:13" x14ac:dyDescent="0.3">
      <c r="B35" s="46"/>
      <c r="C35" s="6"/>
      <c r="D35" s="51"/>
      <c r="E35" s="51"/>
      <c r="F35" s="51"/>
      <c r="G35" s="51"/>
      <c r="H35" s="51"/>
      <c r="I35" s="51"/>
      <c r="J35" s="52"/>
    </row>
    <row r="36" spans="2:13" x14ac:dyDescent="0.3">
      <c r="B36" s="162" t="s">
        <v>61</v>
      </c>
      <c r="C36" s="163"/>
      <c r="D36" s="51"/>
      <c r="E36" s="51"/>
      <c r="F36" s="51"/>
      <c r="G36" s="51"/>
      <c r="H36" s="51"/>
      <c r="I36" s="51"/>
      <c r="J36" s="52"/>
    </row>
    <row r="37" spans="2:13" x14ac:dyDescent="0.3">
      <c r="B37" s="46" t="s">
        <v>47</v>
      </c>
      <c r="C37" s="6"/>
      <c r="D37" s="164">
        <v>0</v>
      </c>
      <c r="E37" s="51">
        <v>23</v>
      </c>
      <c r="F37" s="51">
        <v>279</v>
      </c>
      <c r="G37" s="126">
        <v>0</v>
      </c>
      <c r="H37" s="126">
        <v>0</v>
      </c>
      <c r="I37" s="126">
        <v>0</v>
      </c>
      <c r="J37" s="144">
        <v>0</v>
      </c>
      <c r="L37" t="s">
        <v>313</v>
      </c>
    </row>
    <row r="38" spans="2:13" x14ac:dyDescent="0.3">
      <c r="B38" s="46" t="s">
        <v>48</v>
      </c>
      <c r="C38" s="6"/>
      <c r="D38" s="51">
        <v>-1883</v>
      </c>
      <c r="E38" s="51">
        <v>-2910</v>
      </c>
      <c r="F38" s="51">
        <v>-9367</v>
      </c>
      <c r="G38" s="98">
        <f>-'PPE Schedule'!G24</f>
        <v>-14189.808830168564</v>
      </c>
      <c r="H38" s="98">
        <f>-'PPE Schedule'!H24</f>
        <v>-21128.665869655706</v>
      </c>
      <c r="I38" s="98">
        <f>-'PPE Schedule'!I24</f>
        <v>-31532.34627755922</v>
      </c>
      <c r="J38" s="99">
        <f>-'PPE Schedule'!J24</f>
        <v>-39337.231073020805</v>
      </c>
      <c r="L38" t="s">
        <v>202</v>
      </c>
    </row>
    <row r="39" spans="2:13" x14ac:dyDescent="0.3">
      <c r="B39" s="46" t="s">
        <v>49</v>
      </c>
      <c r="C39" s="6"/>
      <c r="D39" s="51">
        <v>-42620</v>
      </c>
      <c r="E39" s="51">
        <v>-378381</v>
      </c>
      <c r="F39" s="51">
        <v>-1564013</v>
      </c>
      <c r="G39" s="126">
        <v>-200000</v>
      </c>
      <c r="H39" s="126">
        <v>-150000</v>
      </c>
      <c r="I39" s="126">
        <v>-100000</v>
      </c>
      <c r="J39" s="144">
        <v>-50000</v>
      </c>
      <c r="L39" t="s">
        <v>314</v>
      </c>
      <c r="M39" t="s">
        <v>607</v>
      </c>
    </row>
    <row r="40" spans="2:13" x14ac:dyDescent="0.3">
      <c r="B40" s="46" t="s">
        <v>50</v>
      </c>
      <c r="C40" s="6"/>
      <c r="D40" s="51">
        <v>36389</v>
      </c>
      <c r="E40" s="51">
        <v>180770</v>
      </c>
      <c r="F40" s="51">
        <v>1372876</v>
      </c>
      <c r="G40" s="126">
        <v>0</v>
      </c>
      <c r="H40" s="126">
        <v>0</v>
      </c>
      <c r="I40" s="126">
        <v>0</v>
      </c>
      <c r="J40" s="144">
        <v>0</v>
      </c>
      <c r="L40" t="s">
        <v>315</v>
      </c>
      <c r="M40" t="s">
        <v>606</v>
      </c>
    </row>
    <row r="41" spans="2:13" x14ac:dyDescent="0.3">
      <c r="B41" s="46" t="s">
        <v>51</v>
      </c>
      <c r="C41" s="6"/>
      <c r="D41" s="164">
        <v>0</v>
      </c>
      <c r="E41" s="164">
        <v>0</v>
      </c>
      <c r="F41" s="51">
        <v>-42000</v>
      </c>
      <c r="G41" s="126">
        <v>0</v>
      </c>
      <c r="H41" s="126">
        <v>0</v>
      </c>
      <c r="I41" s="126">
        <v>0</v>
      </c>
      <c r="J41" s="144">
        <v>0</v>
      </c>
      <c r="M41" t="s">
        <v>609</v>
      </c>
    </row>
    <row r="42" spans="2:13" x14ac:dyDescent="0.3">
      <c r="B42" s="46" t="s">
        <v>52</v>
      </c>
      <c r="C42" s="6"/>
      <c r="D42" s="51">
        <v>-3984</v>
      </c>
      <c r="E42" s="164">
        <v>0</v>
      </c>
      <c r="F42" s="164">
        <v>0</v>
      </c>
      <c r="G42" s="126">
        <v>0</v>
      </c>
      <c r="H42" s="126">
        <v>0</v>
      </c>
      <c r="I42" s="126">
        <v>0</v>
      </c>
      <c r="J42" s="144">
        <v>0</v>
      </c>
    </row>
    <row r="43" spans="2:13" x14ac:dyDescent="0.3">
      <c r="B43" s="46" t="s">
        <v>53</v>
      </c>
      <c r="C43" s="6"/>
      <c r="D43" s="164">
        <v>0</v>
      </c>
      <c r="E43" s="51">
        <v>771</v>
      </c>
      <c r="F43" s="51">
        <v>11888</v>
      </c>
      <c r="G43" s="126">
        <v>0</v>
      </c>
      <c r="H43" s="126">
        <v>0</v>
      </c>
      <c r="I43" s="126">
        <v>0</v>
      </c>
      <c r="J43" s="144">
        <v>0</v>
      </c>
    </row>
    <row r="44" spans="2:13" x14ac:dyDescent="0.3">
      <c r="B44" s="46" t="s">
        <v>54</v>
      </c>
      <c r="C44" s="6"/>
      <c r="D44" s="164">
        <v>0</v>
      </c>
      <c r="E44" s="51">
        <v>-99</v>
      </c>
      <c r="F44" s="51">
        <v>-900</v>
      </c>
      <c r="G44" s="126">
        <v>0</v>
      </c>
      <c r="H44" s="126">
        <v>0</v>
      </c>
      <c r="I44" s="126">
        <v>0</v>
      </c>
      <c r="J44" s="144">
        <v>0</v>
      </c>
      <c r="L44" t="s">
        <v>301</v>
      </c>
    </row>
    <row r="45" spans="2:13" x14ac:dyDescent="0.3">
      <c r="B45" s="73" t="s">
        <v>55</v>
      </c>
      <c r="C45" s="74"/>
      <c r="D45" s="51">
        <f>SUM(D37:D44)</f>
        <v>-12098</v>
      </c>
      <c r="E45" s="51">
        <f t="shared" ref="E45:J45" si="3">SUM(E37:E44)</f>
        <v>-199826</v>
      </c>
      <c r="F45" s="51">
        <f t="shared" si="3"/>
        <v>-231237</v>
      </c>
      <c r="G45" s="51">
        <f>SUM(G37:G44)</f>
        <v>-214189.80883016856</v>
      </c>
      <c r="H45" s="51">
        <f t="shared" si="3"/>
        <v>-171128.6658696557</v>
      </c>
      <c r="I45" s="51">
        <f t="shared" si="3"/>
        <v>-131532.34627755923</v>
      </c>
      <c r="J45" s="52">
        <f t="shared" si="3"/>
        <v>-89337.231073020812</v>
      </c>
      <c r="L45" t="s">
        <v>316</v>
      </c>
    </row>
    <row r="46" spans="2:13" x14ac:dyDescent="0.3">
      <c r="B46" s="46"/>
      <c r="C46" s="6"/>
      <c r="D46" s="51"/>
      <c r="E46" s="51"/>
      <c r="F46" s="51"/>
      <c r="G46" s="51"/>
      <c r="H46" s="51"/>
      <c r="I46" s="51"/>
      <c r="J46" s="52"/>
      <c r="L46" t="s">
        <v>317</v>
      </c>
    </row>
    <row r="47" spans="2:13" x14ac:dyDescent="0.3">
      <c r="B47" s="58" t="s">
        <v>56</v>
      </c>
      <c r="C47" s="39"/>
      <c r="D47" s="51"/>
      <c r="E47" s="51"/>
      <c r="F47" s="51"/>
      <c r="G47" s="51"/>
      <c r="H47" s="51"/>
      <c r="I47" s="51"/>
      <c r="J47" s="52"/>
    </row>
    <row r="48" spans="2:13" x14ac:dyDescent="0.3">
      <c r="B48" s="222" t="s">
        <v>88</v>
      </c>
      <c r="C48" s="6"/>
      <c r="D48" s="164">
        <v>0</v>
      </c>
      <c r="E48" s="164">
        <v>0</v>
      </c>
      <c r="F48" s="51">
        <v>712005</v>
      </c>
      <c r="G48" s="126">
        <v>0</v>
      </c>
      <c r="H48" s="126">
        <v>0</v>
      </c>
      <c r="I48" s="126">
        <v>0</v>
      </c>
      <c r="J48" s="144">
        <v>0</v>
      </c>
      <c r="L48" t="s">
        <v>312</v>
      </c>
      <c r="M48" t="s">
        <v>610</v>
      </c>
    </row>
    <row r="49" spans="1:13" x14ac:dyDescent="0.3">
      <c r="B49" s="46" t="s">
        <v>89</v>
      </c>
      <c r="C49" s="6"/>
      <c r="D49" s="164">
        <v>0</v>
      </c>
      <c r="E49" s="164">
        <v>0</v>
      </c>
      <c r="F49" s="51">
        <v>-18228</v>
      </c>
      <c r="G49" s="126">
        <v>0</v>
      </c>
      <c r="H49" s="126">
        <v>0</v>
      </c>
      <c r="I49" s="126">
        <v>0</v>
      </c>
      <c r="J49" s="144">
        <v>0</v>
      </c>
    </row>
    <row r="50" spans="1:13" x14ac:dyDescent="0.3">
      <c r="B50" s="46" t="s">
        <v>90</v>
      </c>
      <c r="C50" s="6"/>
      <c r="D50" s="164">
        <v>0</v>
      </c>
      <c r="E50" s="164">
        <v>0</v>
      </c>
      <c r="F50" s="51">
        <v>-5772</v>
      </c>
      <c r="G50" s="51">
        <f>-G63*G65</f>
        <v>-34410.100078352363</v>
      </c>
      <c r="H50" s="51">
        <f t="shared" ref="H50:J50" si="4">-H63*H65</f>
        <v>-62993.964939678328</v>
      </c>
      <c r="I50" s="51">
        <f t="shared" si="4"/>
        <v>-107057.74646841011</v>
      </c>
      <c r="J50" s="52">
        <f t="shared" si="4"/>
        <v>-119101.40148491375</v>
      </c>
    </row>
    <row r="51" spans="1:13" x14ac:dyDescent="0.3">
      <c r="B51" s="46" t="s">
        <v>91</v>
      </c>
      <c r="C51" s="6"/>
      <c r="D51" s="164">
        <v>0</v>
      </c>
      <c r="E51" s="164">
        <v>0</v>
      </c>
      <c r="F51" s="51">
        <v>35579</v>
      </c>
      <c r="G51" s="126">
        <v>0</v>
      </c>
      <c r="H51" s="126">
        <v>0</v>
      </c>
      <c r="I51" s="126">
        <v>0</v>
      </c>
      <c r="J51" s="144">
        <v>0</v>
      </c>
    </row>
    <row r="52" spans="1:13" x14ac:dyDescent="0.3">
      <c r="B52" s="46" t="s">
        <v>92</v>
      </c>
      <c r="C52" s="6"/>
      <c r="D52" s="164">
        <v>0</v>
      </c>
      <c r="E52" s="164">
        <v>0</v>
      </c>
      <c r="F52" s="51">
        <v>-64144</v>
      </c>
      <c r="G52" s="126">
        <v>0</v>
      </c>
      <c r="H52" s="126">
        <v>0</v>
      </c>
      <c r="I52" s="126">
        <v>0</v>
      </c>
      <c r="J52" s="144">
        <v>0</v>
      </c>
    </row>
    <row r="53" spans="1:13" x14ac:dyDescent="0.3">
      <c r="B53" s="46" t="s">
        <v>93</v>
      </c>
      <c r="C53" s="6"/>
      <c r="D53" s="164">
        <v>0</v>
      </c>
      <c r="E53" s="164">
        <v>0</v>
      </c>
      <c r="F53" s="51">
        <v>-255890</v>
      </c>
      <c r="G53" s="126">
        <v>0</v>
      </c>
      <c r="H53" s="126">
        <v>0</v>
      </c>
      <c r="I53" s="126">
        <v>0</v>
      </c>
      <c r="J53" s="144">
        <v>0</v>
      </c>
      <c r="M53" t="s">
        <v>614</v>
      </c>
    </row>
    <row r="54" spans="1:13" x14ac:dyDescent="0.3">
      <c r="B54" s="73" t="s">
        <v>94</v>
      </c>
      <c r="C54" s="74"/>
      <c r="D54" s="164">
        <v>0</v>
      </c>
      <c r="E54" s="164">
        <v>0</v>
      </c>
      <c r="F54" s="51">
        <f>SUM(F48:F53)</f>
        <v>403550</v>
      </c>
      <c r="G54" s="51">
        <f>SUM(G48:G53)</f>
        <v>-34410.100078352363</v>
      </c>
      <c r="H54" s="51">
        <f t="shared" ref="H54:J54" si="5">SUM(H48:H53)</f>
        <v>-62993.964939678328</v>
      </c>
      <c r="I54" s="51">
        <f t="shared" si="5"/>
        <v>-107057.74646841011</v>
      </c>
      <c r="J54" s="52">
        <f t="shared" si="5"/>
        <v>-119101.40148491375</v>
      </c>
      <c r="M54" t="s">
        <v>615</v>
      </c>
    </row>
    <row r="55" spans="1:13" x14ac:dyDescent="0.3">
      <c r="B55" s="46"/>
      <c r="C55" s="6"/>
      <c r="D55" s="51"/>
      <c r="E55" s="51"/>
      <c r="F55" s="51"/>
      <c r="G55" s="51"/>
      <c r="H55" s="51"/>
      <c r="I55" s="51"/>
      <c r="J55" s="52"/>
    </row>
    <row r="56" spans="1:13" x14ac:dyDescent="0.3">
      <c r="B56" s="46" t="s">
        <v>59</v>
      </c>
      <c r="C56" s="6"/>
      <c r="D56" s="51">
        <v>16591</v>
      </c>
      <c r="E56" s="51">
        <f t="shared" ref="E56:J56" si="6">D59</f>
        <v>20852</v>
      </c>
      <c r="F56" s="51">
        <f t="shared" si="6"/>
        <v>90790</v>
      </c>
      <c r="G56" s="51">
        <f t="shared" si="6"/>
        <v>281565</v>
      </c>
      <c r="H56" s="51">
        <f t="shared" ca="1" si="6"/>
        <v>452492.53549027984</v>
      </c>
      <c r="I56" s="51">
        <f t="shared" ca="1" si="6"/>
        <v>659894.82885062159</v>
      </c>
      <c r="J56" s="52">
        <f t="shared" ca="1" si="6"/>
        <v>1075983.6388897686</v>
      </c>
    </row>
    <row r="57" spans="1:13" x14ac:dyDescent="0.3">
      <c r="B57" s="46" t="s">
        <v>57</v>
      </c>
      <c r="C57" s="71"/>
      <c r="D57" s="51">
        <f>D34+D45+D54</f>
        <v>4261</v>
      </c>
      <c r="E57" s="51">
        <f>E34+E45+E54</f>
        <v>69938</v>
      </c>
      <c r="F57" s="51">
        <f>F34+F45+F54</f>
        <v>164890</v>
      </c>
      <c r="G57" s="51">
        <f ca="1">G34+G45+G54</f>
        <v>170927.53549027984</v>
      </c>
      <c r="H57" s="51">
        <f t="shared" ref="H57:J57" ca="1" si="7">H34+H45+H54</f>
        <v>207402.29336034181</v>
      </c>
      <c r="I57" s="51">
        <f t="shared" ca="1" si="7"/>
        <v>416088.81003914709</v>
      </c>
      <c r="J57" s="52">
        <f t="shared" ca="1" si="7"/>
        <v>472294.11264957814</v>
      </c>
    </row>
    <row r="58" spans="1:13" x14ac:dyDescent="0.3">
      <c r="B58" s="46" t="s">
        <v>58</v>
      </c>
      <c r="C58" s="6"/>
      <c r="D58" s="165">
        <v>0</v>
      </c>
      <c r="E58" s="165">
        <v>0</v>
      </c>
      <c r="F58" s="51">
        <v>25879</v>
      </c>
      <c r="G58" s="169">
        <v>0</v>
      </c>
      <c r="H58" s="169">
        <f>G58</f>
        <v>0</v>
      </c>
      <c r="I58" s="169">
        <f>H58</f>
        <v>0</v>
      </c>
      <c r="J58" s="170">
        <f>I58</f>
        <v>0</v>
      </c>
      <c r="L58" t="s">
        <v>305</v>
      </c>
    </row>
    <row r="59" spans="1:13" x14ac:dyDescent="0.3">
      <c r="B59" s="53" t="s">
        <v>60</v>
      </c>
      <c r="C59" s="54"/>
      <c r="D59" s="166">
        <f>'Balance Sheet'!D21</f>
        <v>20852</v>
      </c>
      <c r="E59" s="166">
        <f t="shared" ref="E59:J59" si="8">E57+E58+E56</f>
        <v>90790</v>
      </c>
      <c r="F59" s="225">
        <v>281565</v>
      </c>
      <c r="G59" s="166">
        <f ca="1">G57+G58+G56</f>
        <v>452492.53549027984</v>
      </c>
      <c r="H59" s="166">
        <f t="shared" ca="1" si="8"/>
        <v>659894.82885062159</v>
      </c>
      <c r="I59" s="166">
        <f t="shared" ca="1" si="8"/>
        <v>1075983.6388897686</v>
      </c>
      <c r="J59" s="167">
        <f t="shared" ca="1" si="8"/>
        <v>1548277.7515393468</v>
      </c>
    </row>
    <row r="61" spans="1:13" x14ac:dyDescent="0.3">
      <c r="A61" s="6"/>
      <c r="B61" s="171" t="s">
        <v>248</v>
      </c>
      <c r="C61" s="172"/>
      <c r="D61" s="172"/>
      <c r="E61" s="172"/>
      <c r="F61" s="172"/>
      <c r="G61" s="172"/>
      <c r="H61" s="172"/>
      <c r="I61" s="172"/>
      <c r="J61" s="173"/>
      <c r="K61" s="6"/>
      <c r="L61" s="6"/>
    </row>
    <row r="62" spans="1:13" x14ac:dyDescent="0.3">
      <c r="A62" s="6"/>
      <c r="B62" s="46"/>
      <c r="C62" s="6"/>
      <c r="D62" s="6"/>
      <c r="E62" s="6"/>
      <c r="F62" s="6"/>
      <c r="G62" s="6"/>
      <c r="H62" s="6"/>
      <c r="I62" s="6"/>
      <c r="J62" s="47"/>
      <c r="K62" s="6"/>
      <c r="L62" s="6"/>
    </row>
    <row r="63" spans="1:13" x14ac:dyDescent="0.3">
      <c r="A63" s="6"/>
      <c r="B63" s="46" t="s">
        <v>251</v>
      </c>
      <c r="C63" s="6"/>
      <c r="D63" s="98">
        <f>'Income Statement'!D24</f>
        <v>-87439</v>
      </c>
      <c r="E63" s="98">
        <f>'Income Statement'!E24</f>
        <v>98108</v>
      </c>
      <c r="F63" s="98">
        <f>'Income Statement'!F24</f>
        <v>-291582</v>
      </c>
      <c r="G63" s="98">
        <f>'Income Statement'!G24</f>
        <v>114700.33359450787</v>
      </c>
      <c r="H63" s="98">
        <f>'Income Statement'!H24</f>
        <v>209979.88313226111</v>
      </c>
      <c r="I63" s="98">
        <f>'Income Statement'!I24</f>
        <v>356859.15489470039</v>
      </c>
      <c r="J63" s="99">
        <f>'Income Statement'!J24</f>
        <v>397004.67161637917</v>
      </c>
      <c r="K63" s="6"/>
      <c r="L63" s="6"/>
    </row>
    <row r="64" spans="1:13" x14ac:dyDescent="0.3">
      <c r="A64" s="6"/>
      <c r="B64" s="46"/>
      <c r="C64" s="6"/>
      <c r="D64" s="6"/>
      <c r="E64" s="6"/>
      <c r="F64" s="6"/>
      <c r="G64" s="6"/>
      <c r="H64" s="6"/>
      <c r="I64" s="6"/>
      <c r="J64" s="47"/>
      <c r="K64" s="6"/>
      <c r="L64" s="6"/>
    </row>
    <row r="65" spans="1:12" x14ac:dyDescent="0.3">
      <c r="A65" s="6"/>
      <c r="B65" s="53" t="s">
        <v>302</v>
      </c>
      <c r="C65" s="54"/>
      <c r="D65" s="174"/>
      <c r="E65" s="174"/>
      <c r="F65" s="174"/>
      <c r="G65" s="91">
        <v>0.3</v>
      </c>
      <c r="H65" s="91">
        <f>G65</f>
        <v>0.3</v>
      </c>
      <c r="I65" s="91">
        <f>H65</f>
        <v>0.3</v>
      </c>
      <c r="J65" s="92">
        <f>I65</f>
        <v>0.3</v>
      </c>
      <c r="K65" s="6"/>
      <c r="L65" s="6" t="s">
        <v>311</v>
      </c>
    </row>
    <row r="67" spans="1:12" hidden="1" x14ac:dyDescent="0.3">
      <c r="B67" t="s">
        <v>320</v>
      </c>
    </row>
    <row r="68" spans="1:12" hidden="1" x14ac:dyDescent="0.3">
      <c r="B68" t="s">
        <v>318</v>
      </c>
    </row>
    <row r="69" spans="1:12" hidden="1" x14ac:dyDescent="0.3">
      <c r="B69" t="s">
        <v>319</v>
      </c>
    </row>
    <row r="70" spans="1:12" x14ac:dyDescent="0.3">
      <c r="B70" s="175" t="s">
        <v>321</v>
      </c>
    </row>
  </sheetData>
  <mergeCells count="2">
    <mergeCell ref="D4:F4"/>
    <mergeCell ref="G4:J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4FBB0-4545-4F49-BC11-EF73382D6332}">
  <dimension ref="A1:N77"/>
  <sheetViews>
    <sheetView topLeftCell="A13" zoomScale="85" zoomScaleNormal="85" workbookViewId="0">
      <selection activeCell="O20" sqref="O20"/>
    </sheetView>
  </sheetViews>
  <sheetFormatPr defaultRowHeight="14.4" x14ac:dyDescent="0.3"/>
  <cols>
    <col min="2" max="2" width="68.6640625" bestFit="1" customWidth="1"/>
    <col min="3" max="10" width="11.77734375" customWidth="1"/>
    <col min="12" max="12" width="8.88671875" hidden="1" customWidth="1"/>
  </cols>
  <sheetData>
    <row r="1" spans="2:12" x14ac:dyDescent="0.3">
      <c r="B1" s="6"/>
      <c r="C1" s="6"/>
      <c r="D1" s="6"/>
      <c r="E1" s="6"/>
      <c r="F1" s="6"/>
      <c r="G1" s="6"/>
      <c r="H1" s="6"/>
      <c r="I1" s="6"/>
      <c r="J1" s="6"/>
      <c r="K1" s="6"/>
    </row>
    <row r="2" spans="2:12" x14ac:dyDescent="0.3">
      <c r="B2" s="31" t="s">
        <v>267</v>
      </c>
      <c r="C2" s="43"/>
      <c r="D2" s="44"/>
      <c r="E2" s="44"/>
      <c r="F2" s="44"/>
      <c r="G2" s="44"/>
      <c r="H2" s="44"/>
      <c r="I2" s="44"/>
      <c r="J2" s="45"/>
      <c r="K2" s="30"/>
    </row>
    <row r="3" spans="2:12" x14ac:dyDescent="0.3">
      <c r="B3" s="46"/>
      <c r="C3" s="6"/>
      <c r="D3" s="6"/>
      <c r="E3" s="6"/>
      <c r="F3" s="6"/>
      <c r="G3" s="6"/>
      <c r="H3" s="6"/>
      <c r="I3" s="6"/>
      <c r="J3" s="47"/>
      <c r="K3" s="6"/>
    </row>
    <row r="4" spans="2:12" x14ac:dyDescent="0.3">
      <c r="B4" s="46"/>
      <c r="C4" s="6"/>
      <c r="D4" s="355" t="s">
        <v>232</v>
      </c>
      <c r="E4" s="355"/>
      <c r="F4" s="355"/>
      <c r="G4" s="353" t="s">
        <v>233</v>
      </c>
      <c r="H4" s="353"/>
      <c r="I4" s="353"/>
      <c r="J4" s="354"/>
      <c r="K4" s="6"/>
    </row>
    <row r="5" spans="2:12" ht="15" thickBot="1" x14ac:dyDescent="0.35">
      <c r="B5" s="48" t="s">
        <v>293</v>
      </c>
      <c r="C5" s="6"/>
      <c r="D5" s="26" t="s">
        <v>234</v>
      </c>
      <c r="E5" s="26" t="s">
        <v>235</v>
      </c>
      <c r="F5" s="26" t="s">
        <v>236</v>
      </c>
      <c r="G5" s="26" t="s">
        <v>114</v>
      </c>
      <c r="H5" s="26" t="s">
        <v>115</v>
      </c>
      <c r="I5" s="26" t="s">
        <v>116</v>
      </c>
      <c r="J5" s="49" t="s">
        <v>117</v>
      </c>
      <c r="K5" s="6"/>
      <c r="L5" s="159" t="s">
        <v>32</v>
      </c>
    </row>
    <row r="6" spans="2:12" x14ac:dyDescent="0.3">
      <c r="B6" s="46"/>
      <c r="C6" s="6"/>
      <c r="D6" s="6"/>
      <c r="E6" s="6"/>
      <c r="F6" s="6"/>
      <c r="G6" s="6"/>
      <c r="H6" s="6"/>
      <c r="I6" s="6"/>
      <c r="J6" s="47"/>
      <c r="K6" s="6"/>
    </row>
    <row r="7" spans="2:12" x14ac:dyDescent="0.3">
      <c r="B7" s="46" t="s">
        <v>8</v>
      </c>
      <c r="C7" s="50" t="s">
        <v>45</v>
      </c>
      <c r="D7" s="51">
        <v>4456</v>
      </c>
      <c r="E7" s="51">
        <v>6187</v>
      </c>
      <c r="F7" s="51">
        <v>13661</v>
      </c>
      <c r="G7" s="51">
        <f>G52</f>
        <v>14554.805250000001</v>
      </c>
      <c r="H7" s="51">
        <f t="shared" ref="H7:I7" si="0">H52</f>
        <v>16055.107750000001</v>
      </c>
      <c r="I7" s="51">
        <f t="shared" si="0"/>
        <v>17574.358587499999</v>
      </c>
      <c r="J7" s="52">
        <f>J52</f>
        <v>19051.121772812505</v>
      </c>
      <c r="L7" s="20" t="s">
        <v>151</v>
      </c>
    </row>
    <row r="8" spans="2:12" x14ac:dyDescent="0.3">
      <c r="B8" s="46" t="s">
        <v>9</v>
      </c>
      <c r="C8" s="6"/>
      <c r="D8" s="51">
        <v>46682</v>
      </c>
      <c r="E8" s="51">
        <v>607272</v>
      </c>
      <c r="F8" s="51">
        <v>1110108</v>
      </c>
      <c r="G8" s="51">
        <f>G73</f>
        <v>2228493.7499999995</v>
      </c>
      <c r="H8" s="51">
        <f t="shared" ref="H8:J8" si="1">H73</f>
        <v>3328740.625</v>
      </c>
      <c r="I8" s="51">
        <f t="shared" si="1"/>
        <v>4979110.9375</v>
      </c>
      <c r="J8" s="52">
        <f t="shared" si="1"/>
        <v>6216888.6718749981</v>
      </c>
    </row>
    <row r="9" spans="2:12" x14ac:dyDescent="0.3">
      <c r="B9" s="46" t="s">
        <v>10</v>
      </c>
      <c r="C9" s="6"/>
      <c r="D9" s="51">
        <v>0</v>
      </c>
      <c r="E9" s="51">
        <v>32333</v>
      </c>
      <c r="F9" s="51">
        <v>13263</v>
      </c>
      <c r="G9" s="51">
        <v>10000</v>
      </c>
      <c r="H9" s="51">
        <v>10000</v>
      </c>
      <c r="I9" s="51">
        <v>10000</v>
      </c>
      <c r="J9" s="52">
        <v>10000</v>
      </c>
      <c r="L9" t="s">
        <v>110</v>
      </c>
    </row>
    <row r="10" spans="2:12" x14ac:dyDescent="0.3">
      <c r="B10" s="58" t="s">
        <v>269</v>
      </c>
      <c r="C10" s="39"/>
      <c r="D10" s="133">
        <f t="shared" ref="D10:J10" si="2">SUM(D7:D9)</f>
        <v>51138</v>
      </c>
      <c r="E10" s="133">
        <f t="shared" si="2"/>
        <v>645792</v>
      </c>
      <c r="F10" s="133">
        <f t="shared" si="2"/>
        <v>1137032</v>
      </c>
      <c r="G10" s="133">
        <f>SUM(G7:G9)</f>
        <v>2253048.5552499997</v>
      </c>
      <c r="H10" s="133">
        <f t="shared" si="2"/>
        <v>3354795.73275</v>
      </c>
      <c r="I10" s="133">
        <f t="shared" si="2"/>
        <v>5006685.2960874997</v>
      </c>
      <c r="J10" s="134">
        <f t="shared" si="2"/>
        <v>6245939.7936478108</v>
      </c>
    </row>
    <row r="11" spans="2:12" x14ac:dyDescent="0.3">
      <c r="B11" s="53" t="s">
        <v>150</v>
      </c>
      <c r="C11" s="54"/>
      <c r="D11" s="55"/>
      <c r="E11" s="56">
        <f t="shared" ref="E11:J11" si="3">(E10-D10)/D10</f>
        <v>11.628417223982165</v>
      </c>
      <c r="F11" s="56">
        <f t="shared" si="3"/>
        <v>0.76067836083444829</v>
      </c>
      <c r="G11" s="56">
        <f t="shared" si="3"/>
        <v>0.98151727941693789</v>
      </c>
      <c r="H11" s="56">
        <f t="shared" si="3"/>
        <v>0.48900285567869162</v>
      </c>
      <c r="I11" s="56">
        <f t="shared" si="3"/>
        <v>0.49239646611312737</v>
      </c>
      <c r="J11" s="57">
        <f t="shared" si="3"/>
        <v>0.24751995068048974</v>
      </c>
    </row>
    <row r="12" spans="2:12" x14ac:dyDescent="0.3">
      <c r="D12" s="1"/>
      <c r="E12" s="14"/>
      <c r="F12" s="14"/>
      <c r="G12" s="14"/>
      <c r="H12" s="14"/>
      <c r="I12" s="14"/>
      <c r="J12" s="14"/>
    </row>
    <row r="13" spans="2:12" x14ac:dyDescent="0.3">
      <c r="B13" s="3"/>
      <c r="D13" s="1"/>
      <c r="E13" s="1"/>
      <c r="F13" s="1"/>
    </row>
    <row r="14" spans="2:12" x14ac:dyDescent="0.3">
      <c r="B14" s="356" t="s">
        <v>291</v>
      </c>
      <c r="C14" s="357"/>
      <c r="D14" s="357"/>
      <c r="E14" s="357"/>
      <c r="F14" s="357"/>
      <c r="G14" s="357"/>
      <c r="H14" s="357"/>
      <c r="I14" s="357"/>
      <c r="J14" s="358"/>
    </row>
    <row r="15" spans="2:12" x14ac:dyDescent="0.3">
      <c r="B15" s="114"/>
      <c r="C15" s="36"/>
      <c r="D15" s="30"/>
      <c r="E15" s="30"/>
      <c r="F15" s="30"/>
      <c r="G15" s="30"/>
      <c r="H15" s="30"/>
      <c r="I15" s="30"/>
      <c r="J15" s="145"/>
    </row>
    <row r="16" spans="2:12" x14ac:dyDescent="0.3">
      <c r="B16" s="31" t="s">
        <v>280</v>
      </c>
      <c r="C16" s="43"/>
      <c r="D16" s="44"/>
      <c r="E16" s="44"/>
      <c r="F16" s="44"/>
      <c r="G16" s="44"/>
      <c r="H16" s="44"/>
      <c r="I16" s="44"/>
      <c r="J16" s="45"/>
    </row>
    <row r="17" spans="1:12" x14ac:dyDescent="0.3">
      <c r="B17" s="46"/>
      <c r="C17" s="6"/>
      <c r="D17" s="71"/>
      <c r="E17" s="71"/>
      <c r="F17" s="71"/>
      <c r="G17" s="6"/>
      <c r="H17" s="6"/>
      <c r="I17" s="6"/>
      <c r="J17" s="47"/>
    </row>
    <row r="18" spans="1:12" x14ac:dyDescent="0.3">
      <c r="B18" s="46"/>
      <c r="C18" s="6"/>
      <c r="D18" s="355" t="s">
        <v>232</v>
      </c>
      <c r="E18" s="355"/>
      <c r="F18" s="355"/>
      <c r="G18" s="353" t="s">
        <v>233</v>
      </c>
      <c r="H18" s="353"/>
      <c r="I18" s="353"/>
      <c r="J18" s="354"/>
    </row>
    <row r="19" spans="1:12" ht="15" thickBot="1" x14ac:dyDescent="0.35">
      <c r="B19" s="48" t="s">
        <v>293</v>
      </c>
      <c r="C19" s="6"/>
      <c r="D19" s="26" t="s">
        <v>234</v>
      </c>
      <c r="E19" s="26" t="s">
        <v>235</v>
      </c>
      <c r="F19" s="26" t="s">
        <v>236</v>
      </c>
      <c r="G19" s="26" t="s">
        <v>114</v>
      </c>
      <c r="H19" s="26" t="s">
        <v>115</v>
      </c>
      <c r="I19" s="26" t="s">
        <v>116</v>
      </c>
      <c r="J19" s="49" t="s">
        <v>117</v>
      </c>
    </row>
    <row r="20" spans="1:12" x14ac:dyDescent="0.3">
      <c r="B20" s="59"/>
      <c r="C20" s="6"/>
      <c r="D20" s="28"/>
      <c r="E20" s="28"/>
      <c r="F20" s="28"/>
      <c r="G20" s="28"/>
      <c r="H20" s="28"/>
      <c r="I20" s="28"/>
      <c r="J20" s="60"/>
    </row>
    <row r="21" spans="1:12" ht="15" thickBot="1" x14ac:dyDescent="0.35">
      <c r="B21" s="72" t="s">
        <v>279</v>
      </c>
      <c r="C21" s="6"/>
      <c r="D21" s="28"/>
      <c r="E21" s="28"/>
      <c r="F21" s="28"/>
      <c r="G21" s="28"/>
      <c r="H21" s="28"/>
      <c r="I21" s="28"/>
      <c r="J21" s="60"/>
    </row>
    <row r="22" spans="1:12" ht="15" thickTop="1" x14ac:dyDescent="0.3">
      <c r="B22" s="46"/>
      <c r="C22" s="6"/>
      <c r="D22" s="71"/>
      <c r="E22" s="71"/>
      <c r="F22" s="71"/>
      <c r="G22" s="6"/>
      <c r="H22" s="6"/>
      <c r="I22" s="6"/>
      <c r="J22" s="47"/>
    </row>
    <row r="23" spans="1:12" x14ac:dyDescent="0.3">
      <c r="A23" s="38" t="s">
        <v>272</v>
      </c>
      <c r="B23" s="73" t="s">
        <v>270</v>
      </c>
      <c r="C23" s="74"/>
      <c r="D23" s="6"/>
      <c r="E23" s="6"/>
      <c r="F23" s="6"/>
      <c r="G23" s="6"/>
      <c r="H23" s="6"/>
      <c r="I23" s="6"/>
      <c r="J23" s="47"/>
    </row>
    <row r="24" spans="1:12" x14ac:dyDescent="0.3">
      <c r="B24" s="46" t="s">
        <v>111</v>
      </c>
      <c r="C24" s="6"/>
      <c r="D24" s="51">
        <v>0</v>
      </c>
      <c r="E24" s="51">
        <v>2400</v>
      </c>
      <c r="F24" s="51">
        <v>2580</v>
      </c>
      <c r="G24" s="51">
        <f>F24*(1+G25)</f>
        <v>2773.5</v>
      </c>
      <c r="H24" s="51">
        <f>G24*(1+H25)</f>
        <v>2981.5124999999998</v>
      </c>
      <c r="I24" s="51">
        <f>H24*(1+I25)</f>
        <v>3205.1259374999995</v>
      </c>
      <c r="J24" s="52">
        <f>I24*(1+J25)</f>
        <v>3445.5103828124993</v>
      </c>
      <c r="L24" t="s">
        <v>16</v>
      </c>
    </row>
    <row r="25" spans="1:12" x14ac:dyDescent="0.3">
      <c r="B25" s="46" t="s">
        <v>121</v>
      </c>
      <c r="C25" s="6"/>
      <c r="D25" s="67" t="s">
        <v>128</v>
      </c>
      <c r="E25" s="67" t="s">
        <v>128</v>
      </c>
      <c r="F25" s="34">
        <f>(F24-E24)/E24</f>
        <v>7.4999999999999997E-2</v>
      </c>
      <c r="G25" s="32">
        <f>F25</f>
        <v>7.4999999999999997E-2</v>
      </c>
      <c r="H25" s="32">
        <f>G25</f>
        <v>7.4999999999999997E-2</v>
      </c>
      <c r="I25" s="32">
        <f>H25</f>
        <v>7.4999999999999997E-2</v>
      </c>
      <c r="J25" s="33">
        <f>I25</f>
        <v>7.4999999999999997E-2</v>
      </c>
    </row>
    <row r="26" spans="1:12" x14ac:dyDescent="0.3">
      <c r="B26" s="46"/>
      <c r="C26" s="6"/>
      <c r="D26" s="6"/>
      <c r="E26" s="6"/>
      <c r="F26" s="34"/>
      <c r="G26" s="6"/>
      <c r="H26" s="6"/>
      <c r="I26" s="6"/>
      <c r="J26" s="47"/>
    </row>
    <row r="27" spans="1:12" x14ac:dyDescent="0.3">
      <c r="A27" s="38" t="s">
        <v>275</v>
      </c>
      <c r="B27" s="73" t="s">
        <v>271</v>
      </c>
      <c r="C27" s="74"/>
      <c r="D27" s="6"/>
      <c r="E27" s="6"/>
      <c r="F27" s="6"/>
      <c r="G27" s="6"/>
      <c r="H27" s="6"/>
      <c r="I27" s="6"/>
      <c r="J27" s="47"/>
    </row>
    <row r="28" spans="1:12" x14ac:dyDescent="0.3">
      <c r="B28" s="46" t="s">
        <v>125</v>
      </c>
      <c r="C28" s="6"/>
      <c r="D28" s="51">
        <v>4456</v>
      </c>
      <c r="E28" s="51">
        <v>3787</v>
      </c>
      <c r="F28" s="51">
        <v>2634</v>
      </c>
      <c r="G28" s="51">
        <f>G29*G31</f>
        <v>2005.44525</v>
      </c>
      <c r="H28" s="51">
        <f>H29*H31</f>
        <v>2005.44525</v>
      </c>
      <c r="I28" s="51">
        <f>I29*I31</f>
        <v>2005.44525</v>
      </c>
      <c r="J28" s="52">
        <f>J29*J31</f>
        <v>2005.44525</v>
      </c>
      <c r="L28" t="s">
        <v>130</v>
      </c>
    </row>
    <row r="29" spans="1:12" x14ac:dyDescent="0.3">
      <c r="B29" s="46" t="s">
        <v>123</v>
      </c>
      <c r="C29" s="6"/>
      <c r="D29" s="51">
        <v>271695</v>
      </c>
      <c r="E29" s="51">
        <v>202679</v>
      </c>
      <c r="F29" s="51">
        <v>140733</v>
      </c>
      <c r="G29" s="51">
        <f>F29*(1+G30)</f>
        <v>105549.75</v>
      </c>
      <c r="H29" s="51">
        <f>G29*(1+H30)</f>
        <v>105549.75</v>
      </c>
      <c r="I29" s="51">
        <f>H29*(1+I30)</f>
        <v>105549.75</v>
      </c>
      <c r="J29" s="52">
        <f>I29*(1+J30)</f>
        <v>105549.75</v>
      </c>
      <c r="L29" t="s">
        <v>129</v>
      </c>
    </row>
    <row r="30" spans="1:12" x14ac:dyDescent="0.3">
      <c r="B30" s="46" t="s">
        <v>273</v>
      </c>
      <c r="C30" s="6"/>
      <c r="D30" s="6"/>
      <c r="E30" s="34">
        <f>(E29-D29)/D29</f>
        <v>-0.25402013286957803</v>
      </c>
      <c r="F30" s="34">
        <f>(F29-E29)/E29</f>
        <v>-0.30563600570360028</v>
      </c>
      <c r="G30" s="32">
        <v>-0.25</v>
      </c>
      <c r="H30" s="32">
        <v>0</v>
      </c>
      <c r="I30" s="32">
        <v>0</v>
      </c>
      <c r="J30" s="33">
        <v>0</v>
      </c>
    </row>
    <row r="31" spans="1:12" x14ac:dyDescent="0.3">
      <c r="B31" s="46" t="s">
        <v>124</v>
      </c>
      <c r="C31" s="6"/>
      <c r="D31" s="34">
        <v>1.6E-2</v>
      </c>
      <c r="E31" s="34">
        <v>1.9E-2</v>
      </c>
      <c r="F31" s="34">
        <v>1.9E-2</v>
      </c>
      <c r="G31" s="32">
        <f>F31</f>
        <v>1.9E-2</v>
      </c>
      <c r="H31" s="32">
        <f>G31</f>
        <v>1.9E-2</v>
      </c>
      <c r="I31" s="32">
        <f>H31</f>
        <v>1.9E-2</v>
      </c>
      <c r="J31" s="33">
        <f>I31</f>
        <v>1.9E-2</v>
      </c>
      <c r="L31" t="s">
        <v>126</v>
      </c>
    </row>
    <row r="32" spans="1:12" x14ac:dyDescent="0.3">
      <c r="B32" s="46"/>
      <c r="C32" s="6"/>
      <c r="D32" s="6"/>
      <c r="E32" s="6"/>
      <c r="F32" s="6"/>
      <c r="G32" s="6"/>
      <c r="H32" s="6"/>
      <c r="I32" s="6"/>
      <c r="J32" s="47"/>
    </row>
    <row r="33" spans="1:12" x14ac:dyDescent="0.3">
      <c r="A33" s="38" t="s">
        <v>276</v>
      </c>
      <c r="B33" s="73" t="s">
        <v>274</v>
      </c>
      <c r="C33" s="74"/>
      <c r="D33" s="51">
        <f t="shared" ref="D33:J33" si="4">D24+D28</f>
        <v>4456</v>
      </c>
      <c r="E33" s="51">
        <f t="shared" si="4"/>
        <v>6187</v>
      </c>
      <c r="F33" s="51">
        <f>F24+F28</f>
        <v>5214</v>
      </c>
      <c r="G33" s="51">
        <f>G24+G28</f>
        <v>4778.9452499999998</v>
      </c>
      <c r="H33" s="51">
        <f t="shared" si="4"/>
        <v>4986.9577499999996</v>
      </c>
      <c r="I33" s="51">
        <f t="shared" si="4"/>
        <v>5210.5711874999997</v>
      </c>
      <c r="J33" s="52">
        <f t="shared" si="4"/>
        <v>5450.9556328124991</v>
      </c>
    </row>
    <row r="34" spans="1:12" x14ac:dyDescent="0.3">
      <c r="A34" s="16"/>
      <c r="B34" s="46"/>
      <c r="C34" s="6"/>
      <c r="D34" s="6"/>
      <c r="E34" s="6"/>
      <c r="F34" s="6"/>
      <c r="G34" s="6"/>
      <c r="H34" s="6"/>
      <c r="I34" s="6"/>
      <c r="J34" s="47"/>
    </row>
    <row r="35" spans="1:12" ht="15" thickBot="1" x14ac:dyDescent="0.35">
      <c r="A35" s="16"/>
      <c r="B35" s="72" t="s">
        <v>286</v>
      </c>
      <c r="C35" s="6"/>
      <c r="D35" s="6"/>
      <c r="E35" s="6"/>
      <c r="F35" s="6"/>
      <c r="G35" s="6"/>
      <c r="H35" s="6"/>
      <c r="I35" s="6"/>
      <c r="J35" s="47"/>
    </row>
    <row r="36" spans="1:12" ht="15" thickTop="1" x14ac:dyDescent="0.3">
      <c r="A36" s="16"/>
      <c r="B36" s="46"/>
      <c r="C36" s="6"/>
      <c r="D36" s="6"/>
      <c r="E36" s="6"/>
      <c r="F36" s="6"/>
      <c r="G36" s="6"/>
      <c r="H36" s="6"/>
      <c r="I36" s="6"/>
      <c r="J36" s="47"/>
    </row>
    <row r="37" spans="1:12" x14ac:dyDescent="0.3">
      <c r="B37" s="75" t="s">
        <v>285</v>
      </c>
      <c r="C37" s="76"/>
      <c r="D37" s="51">
        <v>4648</v>
      </c>
      <c r="E37" s="51">
        <v>10711</v>
      </c>
      <c r="F37" s="51">
        <v>14000</v>
      </c>
      <c r="G37" s="51">
        <f>F37*(1+G38)</f>
        <v>16800</v>
      </c>
      <c r="H37" s="51">
        <f>G37*(1+H38)</f>
        <v>19320</v>
      </c>
      <c r="I37" s="51">
        <f>H37*(1+I38)</f>
        <v>21252</v>
      </c>
      <c r="J37" s="52">
        <f>I37*(1+J38)</f>
        <v>22314.600000000002</v>
      </c>
      <c r="L37" t="s">
        <v>131</v>
      </c>
    </row>
    <row r="38" spans="1:12" x14ac:dyDescent="0.3">
      <c r="B38" s="75" t="s">
        <v>121</v>
      </c>
      <c r="C38" s="76"/>
      <c r="D38" s="6"/>
      <c r="E38" s="34">
        <f>(E37-D37)/D37</f>
        <v>1.3044320137693632</v>
      </c>
      <c r="F38" s="34">
        <f>(F37-E37)/E37</f>
        <v>0.30706750070021471</v>
      </c>
      <c r="G38" s="32">
        <v>0.2</v>
      </c>
      <c r="H38" s="32">
        <v>0.15</v>
      </c>
      <c r="I38" s="32">
        <v>0.1</v>
      </c>
      <c r="J38" s="33">
        <v>0.05</v>
      </c>
      <c r="L38" t="s">
        <v>137</v>
      </c>
    </row>
    <row r="39" spans="1:12" x14ac:dyDescent="0.3">
      <c r="B39" s="75" t="s">
        <v>287</v>
      </c>
      <c r="C39" s="76"/>
      <c r="D39" s="67" t="s">
        <v>128</v>
      </c>
      <c r="E39" s="67" t="s">
        <v>128</v>
      </c>
      <c r="F39" s="51">
        <v>272</v>
      </c>
      <c r="G39" s="51">
        <f>F39*(1+G40)</f>
        <v>353.6</v>
      </c>
      <c r="H39" s="51">
        <f>G39*(1+H40)</f>
        <v>424.32</v>
      </c>
      <c r="I39" s="51">
        <f>H39*(1+I40)</f>
        <v>487.96799999999996</v>
      </c>
      <c r="J39" s="52">
        <f>I39*(1+J40)</f>
        <v>536.76480000000004</v>
      </c>
    </row>
    <row r="40" spans="1:12" x14ac:dyDescent="0.3">
      <c r="B40" s="75" t="s">
        <v>121</v>
      </c>
      <c r="C40" s="76"/>
      <c r="D40" s="67" t="s">
        <v>128</v>
      </c>
      <c r="E40" s="67" t="s">
        <v>128</v>
      </c>
      <c r="F40" s="67" t="s">
        <v>128</v>
      </c>
      <c r="G40" s="32">
        <v>0.3</v>
      </c>
      <c r="H40" s="32">
        <v>0.2</v>
      </c>
      <c r="I40" s="32">
        <v>0.15</v>
      </c>
      <c r="J40" s="33">
        <v>0.1</v>
      </c>
    </row>
    <row r="41" spans="1:12" x14ac:dyDescent="0.3">
      <c r="B41" s="75" t="s">
        <v>282</v>
      </c>
      <c r="C41" s="76"/>
      <c r="D41" s="67" t="s">
        <v>128</v>
      </c>
      <c r="E41" s="67" t="s">
        <v>128</v>
      </c>
      <c r="F41" s="51">
        <v>8900</v>
      </c>
      <c r="G41" s="139">
        <f>F41</f>
        <v>8900</v>
      </c>
      <c r="H41" s="139">
        <f>G41</f>
        <v>8900</v>
      </c>
      <c r="I41" s="139">
        <f>H41</f>
        <v>8900</v>
      </c>
      <c r="J41" s="140">
        <f>I41</f>
        <v>8900</v>
      </c>
      <c r="L41" t="s">
        <v>281</v>
      </c>
    </row>
    <row r="42" spans="1:12" x14ac:dyDescent="0.3">
      <c r="B42" s="75" t="s">
        <v>283</v>
      </c>
      <c r="C42" s="76"/>
      <c r="D42" s="67" t="s">
        <v>128</v>
      </c>
      <c r="E42" s="67" t="s">
        <v>128</v>
      </c>
      <c r="F42" s="51">
        <f>F39*F41/1000</f>
        <v>2420.8000000000002</v>
      </c>
      <c r="G42" s="51">
        <f>G39*G41/1000</f>
        <v>3147.04</v>
      </c>
      <c r="H42" s="51">
        <f t="shared" ref="H42:J42" si="5">H39*H41/1000</f>
        <v>3776.4479999999999</v>
      </c>
      <c r="I42" s="51">
        <f t="shared" si="5"/>
        <v>4342.9151999999995</v>
      </c>
      <c r="J42" s="52">
        <f t="shared" si="5"/>
        <v>4777.206720000001</v>
      </c>
    </row>
    <row r="43" spans="1:12" x14ac:dyDescent="0.3">
      <c r="B43" s="75"/>
      <c r="C43" s="76"/>
      <c r="D43" s="67"/>
      <c r="E43" s="67"/>
      <c r="F43" s="62"/>
      <c r="G43" s="62"/>
      <c r="H43" s="62"/>
      <c r="I43" s="62"/>
      <c r="J43" s="63"/>
    </row>
    <row r="44" spans="1:12" x14ac:dyDescent="0.3">
      <c r="B44" s="75" t="s">
        <v>132</v>
      </c>
      <c r="C44" s="76"/>
      <c r="D44" s="67" t="s">
        <v>128</v>
      </c>
      <c r="E44" s="67" t="s">
        <v>128</v>
      </c>
      <c r="F44" s="51">
        <v>101</v>
      </c>
      <c r="G44" s="51">
        <f>F44*(1+G45)</f>
        <v>111.10000000000001</v>
      </c>
      <c r="H44" s="51">
        <f>G44*(1+H45)</f>
        <v>122.21000000000002</v>
      </c>
      <c r="I44" s="51">
        <f>H44*(1+I45)</f>
        <v>134.43100000000004</v>
      </c>
      <c r="J44" s="52">
        <f>I44*(1+J45)</f>
        <v>147.87410000000006</v>
      </c>
    </row>
    <row r="45" spans="1:12" x14ac:dyDescent="0.3">
      <c r="B45" s="75" t="s">
        <v>121</v>
      </c>
      <c r="C45" s="76"/>
      <c r="D45" s="67" t="s">
        <v>128</v>
      </c>
      <c r="E45" s="67" t="s">
        <v>128</v>
      </c>
      <c r="F45" s="67" t="s">
        <v>128</v>
      </c>
      <c r="G45" s="32">
        <v>0.1</v>
      </c>
      <c r="H45" s="32">
        <v>0.1</v>
      </c>
      <c r="I45" s="32">
        <v>0.1</v>
      </c>
      <c r="J45" s="33">
        <v>0.1</v>
      </c>
      <c r="L45" t="s">
        <v>136</v>
      </c>
    </row>
    <row r="46" spans="1:12" x14ac:dyDescent="0.3">
      <c r="B46" s="75" t="s">
        <v>138</v>
      </c>
      <c r="C46" s="76"/>
      <c r="D46" s="67" t="s">
        <v>128</v>
      </c>
      <c r="E46" s="67" t="s">
        <v>128</v>
      </c>
      <c r="F46" s="205">
        <f>(F49-F42)*1000/F44</f>
        <v>59665.346534653465</v>
      </c>
      <c r="G46" s="139">
        <f>F46</f>
        <v>59665.346534653465</v>
      </c>
      <c r="H46" s="139">
        <f>G46</f>
        <v>59665.346534653465</v>
      </c>
      <c r="I46" s="139">
        <f>H46</f>
        <v>59665.346534653465</v>
      </c>
      <c r="J46" s="140">
        <f>I46</f>
        <v>59665.346534653465</v>
      </c>
      <c r="L46" t="s">
        <v>139</v>
      </c>
    </row>
    <row r="47" spans="1:12" x14ac:dyDescent="0.3">
      <c r="B47" s="75" t="s">
        <v>284</v>
      </c>
      <c r="C47" s="76"/>
      <c r="D47" s="67" t="s">
        <v>128</v>
      </c>
      <c r="E47" s="67" t="s">
        <v>128</v>
      </c>
      <c r="F47" s="77" t="s">
        <v>127</v>
      </c>
      <c r="G47" s="51">
        <f>G44*G46/1000</f>
        <v>6628.82</v>
      </c>
      <c r="H47" s="51">
        <f>H44*H46/1000</f>
        <v>7291.7020000000011</v>
      </c>
      <c r="I47" s="51">
        <f>I44*I46/1000</f>
        <v>8020.8722000000016</v>
      </c>
      <c r="J47" s="52">
        <f>J44*J46/1000</f>
        <v>8822.9594200000029</v>
      </c>
      <c r="L47" t="s">
        <v>122</v>
      </c>
    </row>
    <row r="48" spans="1:12" x14ac:dyDescent="0.3">
      <c r="B48" s="75"/>
      <c r="C48" s="76"/>
      <c r="D48" s="67"/>
      <c r="E48" s="67"/>
      <c r="F48" s="77"/>
      <c r="G48" s="62"/>
      <c r="H48" s="62"/>
      <c r="I48" s="62"/>
      <c r="J48" s="63"/>
    </row>
    <row r="49" spans="1:14" x14ac:dyDescent="0.3">
      <c r="A49" s="40" t="s">
        <v>277</v>
      </c>
      <c r="B49" s="78" t="s">
        <v>288</v>
      </c>
      <c r="C49" s="8"/>
      <c r="D49" s="143">
        <v>0</v>
      </c>
      <c r="E49" s="143">
        <v>0</v>
      </c>
      <c r="F49" s="126">
        <v>8447</v>
      </c>
      <c r="G49" s="126">
        <f>G42+G47</f>
        <v>9775.86</v>
      </c>
      <c r="H49" s="126">
        <f>H42+H47</f>
        <v>11068.150000000001</v>
      </c>
      <c r="I49" s="126">
        <f>I42+I47</f>
        <v>12363.787400000001</v>
      </c>
      <c r="J49" s="144">
        <f>J42+J47</f>
        <v>13600.166140000005</v>
      </c>
      <c r="K49" s="19"/>
      <c r="L49" s="19"/>
      <c r="M49" s="19"/>
      <c r="N49" s="19"/>
    </row>
    <row r="50" spans="1:14" x14ac:dyDescent="0.3">
      <c r="A50" s="19"/>
      <c r="B50" s="80" t="s">
        <v>140</v>
      </c>
      <c r="C50" s="8"/>
      <c r="D50" s="79"/>
      <c r="E50" s="79"/>
      <c r="F50" s="66"/>
      <c r="G50" s="81">
        <f>(G49-F49)/F49</f>
        <v>0.15731739078962953</v>
      </c>
      <c r="H50" s="81">
        <f>(H49-G49)/G49</f>
        <v>0.13219195037572151</v>
      </c>
      <c r="I50" s="81">
        <f>(I49-H49)/H49</f>
        <v>0.11705997840650871</v>
      </c>
      <c r="J50" s="82">
        <f>(J49-I49)/I49</f>
        <v>0.1000000000000003</v>
      </c>
      <c r="K50" s="19"/>
      <c r="L50" s="41" t="s">
        <v>112</v>
      </c>
      <c r="M50" s="19"/>
      <c r="N50" s="19"/>
    </row>
    <row r="51" spans="1:14" x14ac:dyDescent="0.3">
      <c r="A51" s="19"/>
      <c r="B51" s="80"/>
      <c r="C51" s="8"/>
      <c r="D51" s="8"/>
      <c r="E51" s="8"/>
      <c r="F51" s="8"/>
      <c r="G51" s="8"/>
      <c r="H51" s="8"/>
      <c r="I51" s="8"/>
      <c r="J51" s="83"/>
      <c r="K51" s="19"/>
      <c r="L51" s="19"/>
      <c r="M51" s="19"/>
      <c r="N51" s="19"/>
    </row>
    <row r="52" spans="1:14" x14ac:dyDescent="0.3">
      <c r="A52" s="19"/>
      <c r="B52" s="135" t="s">
        <v>278</v>
      </c>
      <c r="C52" s="136"/>
      <c r="D52" s="141">
        <f t="shared" ref="D52:J52" si="6">D33+D49</f>
        <v>4456</v>
      </c>
      <c r="E52" s="141">
        <f t="shared" si="6"/>
        <v>6187</v>
      </c>
      <c r="F52" s="141">
        <f t="shared" si="6"/>
        <v>13661</v>
      </c>
      <c r="G52" s="141">
        <f t="shared" si="6"/>
        <v>14554.805250000001</v>
      </c>
      <c r="H52" s="141">
        <f t="shared" si="6"/>
        <v>16055.107750000001</v>
      </c>
      <c r="I52" s="141">
        <f t="shared" si="6"/>
        <v>17574.358587499999</v>
      </c>
      <c r="J52" s="142">
        <f t="shared" si="6"/>
        <v>19051.121772812505</v>
      </c>
      <c r="K52" s="19"/>
      <c r="L52" s="19" t="s">
        <v>113</v>
      </c>
      <c r="M52" s="19"/>
      <c r="N52" s="19"/>
    </row>
    <row r="53" spans="1:14" x14ac:dyDescent="0.3">
      <c r="A53" s="19"/>
      <c r="B53" s="85" t="s">
        <v>140</v>
      </c>
      <c r="C53" s="86"/>
      <c r="D53" s="87"/>
      <c r="E53" s="87"/>
      <c r="F53" s="88"/>
      <c r="G53" s="69">
        <f>(G52-F52)/F52</f>
        <v>6.5427512627186976E-2</v>
      </c>
      <c r="H53" s="69">
        <f>(H52-G52)/G52</f>
        <v>0.1030795310710186</v>
      </c>
      <c r="I53" s="69">
        <f>(I52-H52)/H52</f>
        <v>9.4627258885883081E-2</v>
      </c>
      <c r="J53" s="70">
        <f>(J52-I52)/I52</f>
        <v>8.4029421498368298E-2</v>
      </c>
      <c r="K53" s="19"/>
      <c r="L53" s="19" t="s">
        <v>118</v>
      </c>
      <c r="M53" s="19"/>
      <c r="N53" s="19"/>
    </row>
    <row r="55" spans="1:14" x14ac:dyDescent="0.3">
      <c r="B55" s="31" t="s">
        <v>133</v>
      </c>
      <c r="C55" s="43"/>
      <c r="D55" s="44"/>
      <c r="E55" s="44"/>
      <c r="F55" s="44"/>
      <c r="G55" s="44"/>
      <c r="H55" s="44"/>
      <c r="I55" s="44"/>
      <c r="J55" s="45"/>
      <c r="K55" s="19"/>
      <c r="L55" s="19"/>
    </row>
    <row r="56" spans="1:14" x14ac:dyDescent="0.3">
      <c r="B56" s="58"/>
      <c r="C56" s="39"/>
      <c r="D56" s="6"/>
      <c r="E56" s="6"/>
      <c r="F56" s="6"/>
      <c r="G56" s="6"/>
      <c r="H56" s="6"/>
      <c r="I56" s="6"/>
      <c r="J56" s="47"/>
    </row>
    <row r="57" spans="1:14" x14ac:dyDescent="0.3">
      <c r="B57" s="46"/>
      <c r="C57" s="6"/>
      <c r="D57" s="355" t="s">
        <v>232</v>
      </c>
      <c r="E57" s="355"/>
      <c r="F57" s="355"/>
      <c r="G57" s="353" t="s">
        <v>233</v>
      </c>
      <c r="H57" s="353"/>
      <c r="I57" s="353"/>
      <c r="J57" s="354"/>
    </row>
    <row r="58" spans="1:14" ht="15" thickBot="1" x14ac:dyDescent="0.35">
      <c r="B58" s="48" t="s">
        <v>293</v>
      </c>
      <c r="C58" s="6"/>
      <c r="D58" s="26" t="s">
        <v>234</v>
      </c>
      <c r="E58" s="26" t="s">
        <v>235</v>
      </c>
      <c r="F58" s="26" t="s">
        <v>236</v>
      </c>
      <c r="G58" s="26" t="s">
        <v>114</v>
      </c>
      <c r="H58" s="26" t="s">
        <v>115</v>
      </c>
      <c r="I58" s="26" t="s">
        <v>116</v>
      </c>
      <c r="J58" s="49" t="s">
        <v>117</v>
      </c>
      <c r="L58" s="42" t="s">
        <v>32</v>
      </c>
    </row>
    <row r="59" spans="1:14" x14ac:dyDescent="0.3">
      <c r="B59" s="59"/>
      <c r="C59" s="6"/>
      <c r="D59" s="28"/>
      <c r="E59" s="28"/>
      <c r="F59" s="28"/>
      <c r="G59" s="28"/>
      <c r="H59" s="28"/>
      <c r="I59" s="28"/>
      <c r="J59" s="60"/>
    </row>
    <row r="60" spans="1:14" x14ac:dyDescent="0.3">
      <c r="B60" s="46" t="s">
        <v>142</v>
      </c>
      <c r="C60" s="6"/>
      <c r="D60" s="51">
        <v>46682</v>
      </c>
      <c r="E60" s="51">
        <v>607272</v>
      </c>
      <c r="F60" s="51">
        <v>1110108</v>
      </c>
      <c r="G60" s="137">
        <f>G73</f>
        <v>2228493.7499999995</v>
      </c>
      <c r="H60" s="137">
        <f t="shared" ref="H60:J60" si="7">H73</f>
        <v>3328740.625</v>
      </c>
      <c r="I60" s="137">
        <f t="shared" si="7"/>
        <v>4979110.9375</v>
      </c>
      <c r="J60" s="138">
        <f t="shared" si="7"/>
        <v>6216888.6718749981</v>
      </c>
      <c r="L60" s="18" t="s">
        <v>145</v>
      </c>
    </row>
    <row r="61" spans="1:14" x14ac:dyDescent="0.3">
      <c r="B61" s="46" t="s">
        <v>107</v>
      </c>
      <c r="C61" s="6"/>
      <c r="D61" s="51">
        <v>19.100000000000001</v>
      </c>
      <c r="E61" s="51">
        <v>107.6</v>
      </c>
      <c r="F61" s="51">
        <v>284.7</v>
      </c>
      <c r="G61" s="51">
        <f>F61*(1+G62)</f>
        <v>569.4</v>
      </c>
      <c r="H61" s="51">
        <f t="shared" ref="H61:J61" si="8">G61*(1+H62)</f>
        <v>854.09999999999991</v>
      </c>
      <c r="I61" s="51">
        <f t="shared" si="8"/>
        <v>1281.1499999999999</v>
      </c>
      <c r="J61" s="52">
        <f t="shared" si="8"/>
        <v>1601.4374999999998</v>
      </c>
    </row>
    <row r="62" spans="1:14" x14ac:dyDescent="0.3">
      <c r="B62" s="46" t="s">
        <v>290</v>
      </c>
      <c r="C62" s="6"/>
      <c r="D62" s="6"/>
      <c r="E62" s="61">
        <f>(E61-D61)/D61</f>
        <v>4.6335078534031409</v>
      </c>
      <c r="F62" s="61">
        <f>(F61-E61)/E61</f>
        <v>1.6459107806691451</v>
      </c>
      <c r="G62" s="32">
        <v>1</v>
      </c>
      <c r="H62" s="32">
        <v>0.5</v>
      </c>
      <c r="I62" s="32">
        <v>0.5</v>
      </c>
      <c r="J62" s="33">
        <v>0.25</v>
      </c>
      <c r="L62" t="s">
        <v>144</v>
      </c>
    </row>
    <row r="63" spans="1:14" x14ac:dyDescent="0.3">
      <c r="B63" s="46" t="s">
        <v>108</v>
      </c>
      <c r="C63" s="6"/>
      <c r="D63" s="51">
        <v>95.2</v>
      </c>
      <c r="E63" s="51">
        <v>6752.2</v>
      </c>
      <c r="F63" s="51">
        <v>14523.8</v>
      </c>
      <c r="G63" s="51">
        <f>G61*G64</f>
        <v>28470</v>
      </c>
      <c r="H63" s="51">
        <f t="shared" ref="H63:J63" si="9">H61*H64</f>
        <v>42704.999999999993</v>
      </c>
      <c r="I63" s="51">
        <f t="shared" si="9"/>
        <v>64057.499999999993</v>
      </c>
      <c r="J63" s="52">
        <f t="shared" si="9"/>
        <v>80071.874999999985</v>
      </c>
    </row>
    <row r="64" spans="1:14" x14ac:dyDescent="0.3">
      <c r="B64" s="46" t="s">
        <v>143</v>
      </c>
      <c r="C64" s="6"/>
      <c r="D64" s="51">
        <f>D63/D61</f>
        <v>4.984293193717277</v>
      </c>
      <c r="E64" s="51">
        <f t="shared" ref="E64:F64" si="10">E63/E61</f>
        <v>62.75278810408922</v>
      </c>
      <c r="F64" s="51">
        <f t="shared" si="10"/>
        <v>51.014401123990162</v>
      </c>
      <c r="G64" s="51">
        <f>50</f>
        <v>50</v>
      </c>
      <c r="H64" s="51">
        <f>50</f>
        <v>50</v>
      </c>
      <c r="I64" s="51">
        <f>50</f>
        <v>50</v>
      </c>
      <c r="J64" s="52">
        <f>50</f>
        <v>50</v>
      </c>
    </row>
    <row r="65" spans="2:12" x14ac:dyDescent="0.3">
      <c r="B65" s="46" t="s">
        <v>109</v>
      </c>
      <c r="C65" s="6"/>
      <c r="D65" s="51">
        <v>30.8</v>
      </c>
      <c r="E65" s="51">
        <v>1850.9</v>
      </c>
      <c r="F65" s="51">
        <v>3819.9</v>
      </c>
      <c r="G65" s="51">
        <f>G68*G63</f>
        <v>7544.55</v>
      </c>
      <c r="H65" s="51">
        <f t="shared" ref="H65:J65" si="11">H68*H63</f>
        <v>11316.824999999999</v>
      </c>
      <c r="I65" s="51">
        <f t="shared" si="11"/>
        <v>16975.237499999999</v>
      </c>
      <c r="J65" s="52">
        <f t="shared" si="11"/>
        <v>21219.046874999996</v>
      </c>
    </row>
    <row r="66" spans="2:12" x14ac:dyDescent="0.3">
      <c r="B66" s="46" t="s">
        <v>105</v>
      </c>
      <c r="C66" s="6"/>
      <c r="D66" s="51"/>
      <c r="E66" s="51">
        <v>1580.6</v>
      </c>
      <c r="F66" s="51">
        <v>3072.2</v>
      </c>
      <c r="G66" s="51">
        <f>G65/G67</f>
        <v>6287.125</v>
      </c>
      <c r="H66" s="51">
        <f t="shared" ref="H66:J66" si="12">H65/H67</f>
        <v>9430.6875</v>
      </c>
      <c r="I66" s="51">
        <f t="shared" si="12"/>
        <v>14146.03125</v>
      </c>
      <c r="J66" s="52">
        <f t="shared" si="12"/>
        <v>17682.539062499996</v>
      </c>
    </row>
    <row r="67" spans="2:12" x14ac:dyDescent="0.3">
      <c r="B67" s="46"/>
      <c r="C67" s="6"/>
      <c r="D67" s="6"/>
      <c r="E67" s="64">
        <f>E65/E66</f>
        <v>1.1710110084777934</v>
      </c>
      <c r="F67" s="64">
        <f>F65/F66</f>
        <v>1.2433760822863096</v>
      </c>
      <c r="G67" s="64">
        <f>ROUNDDOWN(AVERAGE(E67:F67),2)</f>
        <v>1.2</v>
      </c>
      <c r="H67" s="64">
        <f>G67</f>
        <v>1.2</v>
      </c>
      <c r="I67" s="64">
        <f>H67</f>
        <v>1.2</v>
      </c>
      <c r="J67" s="65">
        <f>I67</f>
        <v>1.2</v>
      </c>
    </row>
    <row r="68" spans="2:12" x14ac:dyDescent="0.3">
      <c r="B68" s="46" t="s">
        <v>120</v>
      </c>
      <c r="C68" s="6"/>
      <c r="D68" s="34">
        <f>D65/D63</f>
        <v>0.3235294117647059</v>
      </c>
      <c r="E68" s="34">
        <f t="shared" ref="E68:F68" si="13">E65/E63</f>
        <v>0.27411806522318655</v>
      </c>
      <c r="F68" s="34">
        <f t="shared" si="13"/>
        <v>0.26300968066208569</v>
      </c>
      <c r="G68" s="32">
        <v>0.26500000000000001</v>
      </c>
      <c r="H68" s="32">
        <v>0.26500000000000001</v>
      </c>
      <c r="I68" s="32">
        <v>0.26500000000000001</v>
      </c>
      <c r="J68" s="33">
        <v>0.26500000000000001</v>
      </c>
      <c r="L68" t="s">
        <v>141</v>
      </c>
    </row>
    <row r="69" spans="2:12" x14ac:dyDescent="0.3">
      <c r="B69" s="46" t="s">
        <v>104</v>
      </c>
      <c r="C69" s="6"/>
      <c r="D69" s="6"/>
      <c r="E69" s="34">
        <v>0.36</v>
      </c>
      <c r="F69" s="34">
        <v>0.35</v>
      </c>
      <c r="G69" s="32">
        <f>F69</f>
        <v>0.35</v>
      </c>
      <c r="H69" s="32">
        <f>G69</f>
        <v>0.35</v>
      </c>
      <c r="I69" s="32">
        <f>H69</f>
        <v>0.35</v>
      </c>
      <c r="J69" s="33">
        <f>I69</f>
        <v>0.35</v>
      </c>
      <c r="L69" t="s">
        <v>119</v>
      </c>
    </row>
    <row r="70" spans="2:12" x14ac:dyDescent="0.3">
      <c r="B70" s="46" t="s">
        <v>146</v>
      </c>
      <c r="C70" s="6"/>
      <c r="D70" s="6"/>
      <c r="E70" s="51">
        <v>566555</v>
      </c>
      <c r="F70" s="126">
        <v>1081264</v>
      </c>
      <c r="G70" s="51">
        <f>G66*G69*1000</f>
        <v>2200493.7499999995</v>
      </c>
      <c r="H70" s="51">
        <f t="shared" ref="H70:J70" si="14">H66*H69*1000</f>
        <v>3300740.625</v>
      </c>
      <c r="I70" s="51">
        <f t="shared" si="14"/>
        <v>4951110.9375</v>
      </c>
      <c r="J70" s="52">
        <f t="shared" si="14"/>
        <v>6188888.6718749981</v>
      </c>
    </row>
    <row r="71" spans="2:12" x14ac:dyDescent="0.3">
      <c r="B71" s="46"/>
      <c r="C71" s="6"/>
      <c r="D71" s="6"/>
      <c r="E71" s="62"/>
      <c r="F71" s="66"/>
      <c r="G71" s="62"/>
      <c r="H71" s="62"/>
      <c r="I71" s="62"/>
      <c r="J71" s="63"/>
    </row>
    <row r="72" spans="2:12" x14ac:dyDescent="0.3">
      <c r="B72" s="46" t="s">
        <v>106</v>
      </c>
      <c r="C72" s="6"/>
      <c r="D72" s="6"/>
      <c r="E72" s="51">
        <v>40717</v>
      </c>
      <c r="F72" s="126">
        <v>28844</v>
      </c>
      <c r="G72" s="139">
        <f>28000</f>
        <v>28000</v>
      </c>
      <c r="H72" s="139">
        <f>28000</f>
        <v>28000</v>
      </c>
      <c r="I72" s="139">
        <f>28000</f>
        <v>28000</v>
      </c>
      <c r="J72" s="140">
        <f>28000</f>
        <v>28000</v>
      </c>
      <c r="L72" t="s">
        <v>149</v>
      </c>
    </row>
    <row r="73" spans="2:12" x14ac:dyDescent="0.3">
      <c r="B73" s="58" t="s">
        <v>142</v>
      </c>
      <c r="C73" s="39"/>
      <c r="D73" s="39"/>
      <c r="E73" s="133">
        <f>E70+E72</f>
        <v>607272</v>
      </c>
      <c r="F73" s="133">
        <f t="shared" ref="F73:J73" si="15">F70+F72</f>
        <v>1110108</v>
      </c>
      <c r="G73" s="133">
        <f t="shared" si="15"/>
        <v>2228493.7499999995</v>
      </c>
      <c r="H73" s="133">
        <f t="shared" si="15"/>
        <v>3328740.625</v>
      </c>
      <c r="I73" s="133">
        <f t="shared" si="15"/>
        <v>4979110.9375</v>
      </c>
      <c r="J73" s="134">
        <f t="shared" si="15"/>
        <v>6216888.6718749981</v>
      </c>
    </row>
    <row r="74" spans="2:12" x14ac:dyDescent="0.3">
      <c r="B74" s="46"/>
      <c r="C74" s="6"/>
      <c r="D74" s="6"/>
      <c r="E74" s="6"/>
      <c r="F74" s="8"/>
      <c r="G74" s="6"/>
      <c r="H74" s="6"/>
      <c r="I74" s="6"/>
      <c r="J74" s="47"/>
    </row>
    <row r="75" spans="2:12" x14ac:dyDescent="0.3">
      <c r="B75" s="46" t="s">
        <v>147</v>
      </c>
      <c r="C75" s="6"/>
      <c r="D75" s="67"/>
      <c r="E75" s="67"/>
      <c r="F75" s="126">
        <v>4400</v>
      </c>
      <c r="G75" s="51">
        <v>7700</v>
      </c>
      <c r="H75" s="51">
        <v>12800</v>
      </c>
      <c r="I75" s="51">
        <v>20200</v>
      </c>
      <c r="J75" s="52">
        <v>29400</v>
      </c>
      <c r="L75" t="s">
        <v>135</v>
      </c>
    </row>
    <row r="76" spans="2:12" x14ac:dyDescent="0.3">
      <c r="B76" s="53" t="s">
        <v>134</v>
      </c>
      <c r="C76" s="54"/>
      <c r="D76" s="68"/>
      <c r="E76" s="68"/>
      <c r="F76" s="69">
        <f>F73/1000/F75</f>
        <v>0.2522972727272727</v>
      </c>
      <c r="G76" s="69">
        <f t="shared" ref="G76:J76" si="16">G73/1000/G75</f>
        <v>0.28941477272727267</v>
      </c>
      <c r="H76" s="69">
        <f t="shared" si="16"/>
        <v>0.26005786132812497</v>
      </c>
      <c r="I76" s="69">
        <f t="shared" si="16"/>
        <v>0.24649064047029701</v>
      </c>
      <c r="J76" s="70">
        <f t="shared" si="16"/>
        <v>0.21145879836309517</v>
      </c>
      <c r="L76" t="s">
        <v>148</v>
      </c>
    </row>
    <row r="77" spans="2:12" x14ac:dyDescent="0.3">
      <c r="B77" t="s">
        <v>289</v>
      </c>
      <c r="F77" s="19"/>
    </row>
  </sheetData>
  <mergeCells count="7">
    <mergeCell ref="D57:F57"/>
    <mergeCell ref="G57:J57"/>
    <mergeCell ref="B14:J14"/>
    <mergeCell ref="D4:F4"/>
    <mergeCell ref="G4:J4"/>
    <mergeCell ref="D18:F18"/>
    <mergeCell ref="G18:J1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CD379-250F-4F40-A2E2-9E8C80D2465B}">
  <dimension ref="B2:XCP53"/>
  <sheetViews>
    <sheetView zoomScale="85" zoomScaleNormal="85" workbookViewId="0">
      <selection activeCell="B2" sqref="B2:J2"/>
    </sheetView>
  </sheetViews>
  <sheetFormatPr defaultRowHeight="14.4" x14ac:dyDescent="0.3"/>
  <cols>
    <col min="2" max="2" width="41.44140625" bestFit="1" customWidth="1"/>
    <col min="3" max="3" width="9.77734375" customWidth="1"/>
    <col min="4" max="10" width="11.77734375" customWidth="1"/>
    <col min="11" max="12" width="8.88671875" customWidth="1"/>
  </cols>
  <sheetData>
    <row r="2" spans="2:10" x14ac:dyDescent="0.3">
      <c r="B2" s="31" t="s">
        <v>246</v>
      </c>
      <c r="C2" s="44"/>
      <c r="D2" s="93"/>
      <c r="E2" s="93"/>
      <c r="F2" s="93"/>
      <c r="G2" s="93"/>
      <c r="H2" s="93"/>
      <c r="I2" s="93"/>
      <c r="J2" s="94"/>
    </row>
    <row r="3" spans="2:10" x14ac:dyDescent="0.3">
      <c r="B3" s="95"/>
      <c r="C3" s="30"/>
      <c r="D3" s="10"/>
      <c r="E3" s="10"/>
      <c r="F3" s="10"/>
      <c r="G3" s="10"/>
      <c r="H3" s="10"/>
      <c r="I3" s="10"/>
      <c r="J3" s="96"/>
    </row>
    <row r="4" spans="2:10" x14ac:dyDescent="0.3">
      <c r="B4" s="46"/>
      <c r="C4" s="6"/>
      <c r="D4" s="355" t="s">
        <v>232</v>
      </c>
      <c r="E4" s="355"/>
      <c r="F4" s="355"/>
      <c r="G4" s="353" t="s">
        <v>233</v>
      </c>
      <c r="H4" s="353"/>
      <c r="I4" s="353"/>
      <c r="J4" s="354"/>
    </row>
    <row r="5" spans="2:10" ht="15" thickBot="1" x14ac:dyDescent="0.35">
      <c r="B5" s="48" t="s">
        <v>293</v>
      </c>
      <c r="C5" s="6"/>
      <c r="D5" s="26" t="s">
        <v>234</v>
      </c>
      <c r="E5" s="26" t="s">
        <v>235</v>
      </c>
      <c r="F5" s="26" t="s">
        <v>236</v>
      </c>
      <c r="G5" s="26" t="s">
        <v>114</v>
      </c>
      <c r="H5" s="26" t="s">
        <v>115</v>
      </c>
      <c r="I5" s="26" t="s">
        <v>116</v>
      </c>
      <c r="J5" s="49" t="s">
        <v>117</v>
      </c>
    </row>
    <row r="6" spans="2:10" x14ac:dyDescent="0.3">
      <c r="B6" s="59"/>
      <c r="C6" s="6"/>
      <c r="D6" s="28"/>
      <c r="E6" s="28"/>
      <c r="F6" s="28"/>
      <c r="G6" s="28"/>
      <c r="H6" s="28"/>
      <c r="I6" s="28"/>
      <c r="J6" s="60"/>
    </row>
    <row r="7" spans="2:10" x14ac:dyDescent="0.3">
      <c r="B7" s="46" t="s">
        <v>0</v>
      </c>
      <c r="C7" s="97" t="s">
        <v>231</v>
      </c>
      <c r="D7" s="98">
        <f>'Income Statement'!D7</f>
        <v>51138</v>
      </c>
      <c r="E7" s="98">
        <f>'Income Statement'!E7</f>
        <v>645792</v>
      </c>
      <c r="F7" s="98">
        <f>'Income Statement'!F7</f>
        <v>1137032</v>
      </c>
      <c r="G7" s="98">
        <f>'Income Statement'!G7</f>
        <v>2253048.5552499997</v>
      </c>
      <c r="H7" s="98">
        <f>'Income Statement'!H7</f>
        <v>3354795.73275</v>
      </c>
      <c r="I7" s="98">
        <f>'Income Statement'!I7</f>
        <v>5006685.2960874997</v>
      </c>
      <c r="J7" s="99">
        <f>'Income Statement'!J7</f>
        <v>6245939.7936478108</v>
      </c>
    </row>
    <row r="8" spans="2:10" x14ac:dyDescent="0.3">
      <c r="B8" s="46"/>
      <c r="C8" s="6"/>
      <c r="D8" s="100"/>
      <c r="E8" s="100"/>
      <c r="F8" s="100"/>
      <c r="G8" s="98"/>
      <c r="H8" s="98"/>
      <c r="I8" s="98"/>
      <c r="J8" s="99"/>
    </row>
    <row r="9" spans="2:10" x14ac:dyDescent="0.3">
      <c r="B9" s="46" t="s">
        <v>1</v>
      </c>
      <c r="C9" s="6"/>
      <c r="D9" s="98">
        <f>'Income Statement'!D10</f>
        <v>-11102</v>
      </c>
      <c r="E9" s="98">
        <f>'Income Statement'!E10</f>
        <v>-403766</v>
      </c>
      <c r="F9" s="98">
        <f>'Income Statement'!F10</f>
        <v>-708119</v>
      </c>
      <c r="G9" s="101">
        <f>-G7*G10</f>
        <v>-1405907.374172817</v>
      </c>
      <c r="H9" s="101">
        <f t="shared" ref="H9:J9" si="0">-H7*H10</f>
        <v>-2093400.0949630551</v>
      </c>
      <c r="I9" s="101">
        <f t="shared" si="0"/>
        <v>-3124182.9038837487</v>
      </c>
      <c r="J9" s="102">
        <f t="shared" si="0"/>
        <v>-3897480.5021698838</v>
      </c>
    </row>
    <row r="10" spans="2:10" x14ac:dyDescent="0.3">
      <c r="B10" s="46" t="s">
        <v>152</v>
      </c>
      <c r="C10" s="6"/>
      <c r="D10" s="103">
        <f>-D9/D7</f>
        <v>0.21709883061519808</v>
      </c>
      <c r="E10" s="103">
        <f t="shared" ref="E10:F10" si="1">-E9/E7</f>
        <v>0.62522607898518412</v>
      </c>
      <c r="F10" s="103">
        <f t="shared" si="1"/>
        <v>0.62277842664058702</v>
      </c>
      <c r="G10" s="103">
        <f>G31</f>
        <v>0.62400225281288557</v>
      </c>
      <c r="H10" s="103">
        <f t="shared" ref="H10:J10" si="2">H31</f>
        <v>0.62400225281288557</v>
      </c>
      <c r="I10" s="103">
        <f t="shared" si="2"/>
        <v>0.62400225281288557</v>
      </c>
      <c r="J10" s="104">
        <f t="shared" si="2"/>
        <v>0.62400225281288557</v>
      </c>
    </row>
    <row r="11" spans="2:10" x14ac:dyDescent="0.3">
      <c r="B11" s="46"/>
      <c r="C11" s="6"/>
      <c r="D11" s="105"/>
      <c r="E11" s="105"/>
      <c r="F11" s="105"/>
      <c r="G11" s="34"/>
      <c r="H11" s="34"/>
      <c r="I11" s="34"/>
      <c r="J11" s="106"/>
    </row>
    <row r="12" spans="2:10" x14ac:dyDescent="0.3">
      <c r="B12" s="46" t="s">
        <v>3</v>
      </c>
      <c r="C12" s="6"/>
      <c r="D12" s="98">
        <f>'Income Statement'!D17</f>
        <v>663</v>
      </c>
      <c r="E12" s="98">
        <f>'Income Statement'!E17</f>
        <v>3260</v>
      </c>
      <c r="F12" s="98">
        <f>'Income Statement'!F17</f>
        <v>13222</v>
      </c>
      <c r="G12" s="101">
        <f>-G7*G13</f>
        <v>-22261.249281946857</v>
      </c>
      <c r="H12" s="101">
        <f t="shared" ref="H12:J12" si="3">-H7*H13</f>
        <v>-33147.063751794092</v>
      </c>
      <c r="I12" s="101">
        <f t="shared" si="3"/>
        <v>-49468.560805204048</v>
      </c>
      <c r="J12" s="102">
        <f t="shared" si="3"/>
        <v>-61713.016535942967</v>
      </c>
    </row>
    <row r="13" spans="2:10" x14ac:dyDescent="0.3">
      <c r="B13" s="46" t="s">
        <v>152</v>
      </c>
      <c r="C13" s="6"/>
      <c r="D13" s="103">
        <f>D12/$D$7</f>
        <v>1.2964918455942743E-2</v>
      </c>
      <c r="E13" s="103">
        <f>E12/$E$7</f>
        <v>5.0480650116446158E-3</v>
      </c>
      <c r="F13" s="103">
        <f>F12/$F$7</f>
        <v>1.1628520569341936E-2</v>
      </c>
      <c r="G13" s="103">
        <f>G35</f>
        <v>9.8805013456430973E-3</v>
      </c>
      <c r="H13" s="103">
        <f t="shared" ref="H13:J13" si="4">H35</f>
        <v>9.8805013456430973E-3</v>
      </c>
      <c r="I13" s="103">
        <f t="shared" si="4"/>
        <v>9.8805013456430973E-3</v>
      </c>
      <c r="J13" s="104">
        <f t="shared" si="4"/>
        <v>9.8805013456430973E-3</v>
      </c>
    </row>
    <row r="14" spans="2:10" x14ac:dyDescent="0.3">
      <c r="B14" s="46"/>
      <c r="C14" s="6"/>
      <c r="D14" s="105"/>
      <c r="E14" s="105"/>
      <c r="F14" s="105"/>
      <c r="G14" s="103"/>
      <c r="H14" s="103"/>
      <c r="I14" s="103"/>
      <c r="J14" s="104"/>
    </row>
    <row r="15" spans="2:10" x14ac:dyDescent="0.3">
      <c r="B15" s="46" t="s">
        <v>4</v>
      </c>
      <c r="C15" s="6"/>
      <c r="D15" s="98">
        <f>'Income Statement'!D14</f>
        <v>-8599</v>
      </c>
      <c r="E15" s="98">
        <f>'Income Statement'!E14</f>
        <v>-46026</v>
      </c>
      <c r="F15" s="98">
        <f>'Income Statement'!F14</f>
        <v>-107156</v>
      </c>
      <c r="G15" s="101">
        <f>-G7*G16</f>
        <v>-250588.05412928094</v>
      </c>
      <c r="H15" s="101">
        <f t="shared" ref="H15:J15" si="5">-H7*H16</f>
        <v>-373126.32819746586</v>
      </c>
      <c r="I15" s="101">
        <f t="shared" si="5"/>
        <v>-556852.41361566493</v>
      </c>
      <c r="J15" s="102">
        <f t="shared" si="5"/>
        <v>-694684.49557012611</v>
      </c>
    </row>
    <row r="16" spans="2:10" x14ac:dyDescent="0.3">
      <c r="B16" s="46" t="s">
        <v>152</v>
      </c>
      <c r="C16" s="6"/>
      <c r="D16" s="103">
        <f>-D15/$D$7</f>
        <v>0.16815284133129962</v>
      </c>
      <c r="E16" s="103">
        <f>-E15/$E$7</f>
        <v>7.1270625836182544E-2</v>
      </c>
      <c r="F16" s="103">
        <f>-F15/$F$7</f>
        <v>9.4241850713084593E-2</v>
      </c>
      <c r="G16" s="103">
        <f>G39</f>
        <v>0.11122177262685558</v>
      </c>
      <c r="H16" s="103">
        <f t="shared" ref="H16:J16" si="6">H39</f>
        <v>0.11122177262685558</v>
      </c>
      <c r="I16" s="103">
        <f t="shared" si="6"/>
        <v>0.11122177262685558</v>
      </c>
      <c r="J16" s="104">
        <f t="shared" si="6"/>
        <v>0.11122177262685558</v>
      </c>
    </row>
    <row r="17" spans="2:12" x14ac:dyDescent="0.3">
      <c r="B17" s="46"/>
      <c r="C17" s="6"/>
      <c r="D17" s="105"/>
      <c r="E17" s="105"/>
      <c r="F17" s="105"/>
      <c r="G17" s="103"/>
      <c r="H17" s="103"/>
      <c r="I17" s="103"/>
      <c r="J17" s="104"/>
    </row>
    <row r="18" spans="2:12" x14ac:dyDescent="0.3">
      <c r="B18" s="46" t="s">
        <v>175</v>
      </c>
      <c r="C18" s="6"/>
      <c r="D18" s="98">
        <f>'Income Statement'!D15</f>
        <v>-37517</v>
      </c>
      <c r="E18" s="98">
        <f>'Income Statement'!E15</f>
        <v>-82213</v>
      </c>
      <c r="F18" s="98">
        <f>'Income Statement'!F15</f>
        <v>-173554</v>
      </c>
      <c r="G18" s="101">
        <f>-G7*G19</f>
        <v>-315363.08212543011</v>
      </c>
      <c r="H18" s="101">
        <f t="shared" ref="H18:J18" si="7">-H7*H19</f>
        <v>-469576.5298603992</v>
      </c>
      <c r="I18" s="101">
        <f t="shared" si="7"/>
        <v>-700794.35373332526</v>
      </c>
      <c r="J18" s="102">
        <f t="shared" si="7"/>
        <v>-874254.93760656356</v>
      </c>
    </row>
    <row r="19" spans="2:12" x14ac:dyDescent="0.3">
      <c r="B19" s="46" t="s">
        <v>152</v>
      </c>
      <c r="C19" s="6"/>
      <c r="D19" s="103">
        <f>-D18/$D$7</f>
        <v>0.73364230122413865</v>
      </c>
      <c r="E19" s="103">
        <f>-E18/$E$7</f>
        <v>0.12730569595163768</v>
      </c>
      <c r="F19" s="103">
        <f>-F18/$F$7</f>
        <v>0.15263774458414539</v>
      </c>
      <c r="G19" s="103">
        <f>G43</f>
        <v>0.13997172026789154</v>
      </c>
      <c r="H19" s="103">
        <f t="shared" ref="H19:J19" si="8">H43</f>
        <v>0.13997172026789154</v>
      </c>
      <c r="I19" s="103">
        <f t="shared" si="8"/>
        <v>0.13997172026789154</v>
      </c>
      <c r="J19" s="104">
        <f t="shared" si="8"/>
        <v>0.13997172026789154</v>
      </c>
    </row>
    <row r="20" spans="2:12" x14ac:dyDescent="0.3">
      <c r="B20" s="46"/>
      <c r="C20" s="6"/>
      <c r="D20" s="105"/>
      <c r="E20" s="105"/>
      <c r="F20" s="105"/>
      <c r="G20" s="103"/>
      <c r="H20" s="103"/>
      <c r="I20" s="103"/>
      <c r="J20" s="104"/>
    </row>
    <row r="21" spans="2:12" x14ac:dyDescent="0.3">
      <c r="B21" s="80" t="s">
        <v>153</v>
      </c>
      <c r="C21" s="8"/>
      <c r="D21" s="107">
        <f>'Income Statement'!D16</f>
        <v>-84255</v>
      </c>
      <c r="E21" s="107">
        <f>'Income Statement'!E16</f>
        <v>-18605</v>
      </c>
      <c r="F21" s="107">
        <f>'Income Statement'!F16</f>
        <v>-453592</v>
      </c>
      <c r="G21" s="107">
        <f>-'Changes in FV'!E13</f>
        <v>-115139.10000000009</v>
      </c>
      <c r="H21" s="107">
        <f>-'Changes in FV'!F13</f>
        <v>-126653.01000000013</v>
      </c>
      <c r="I21" s="107">
        <f>-'Changes in FV'!G13</f>
        <v>-139318.3110000001</v>
      </c>
      <c r="J21" s="108">
        <f>-'Changes in FV'!H13</f>
        <v>-153250.14210000017</v>
      </c>
    </row>
    <row r="22" spans="2:12" x14ac:dyDescent="0.3">
      <c r="B22" s="80"/>
      <c r="C22" s="8"/>
      <c r="D22" s="109"/>
      <c r="E22" s="109"/>
      <c r="F22" s="109"/>
      <c r="G22" s="110"/>
      <c r="H22" s="110"/>
      <c r="I22" s="110"/>
      <c r="J22" s="111"/>
    </row>
    <row r="23" spans="2:12" x14ac:dyDescent="0.3">
      <c r="B23" s="46" t="s">
        <v>5</v>
      </c>
      <c r="C23" s="6"/>
      <c r="D23" s="98">
        <f>'Income Statement'!D18</f>
        <v>0</v>
      </c>
      <c r="E23" s="98">
        <f>'Income Statement'!E18</f>
        <v>-79</v>
      </c>
      <c r="F23" s="98">
        <f>'Income Statement'!F18</f>
        <v>-1139</v>
      </c>
      <c r="G23" s="101">
        <f>-G7*G24</f>
        <v>-1266.2822671497597</v>
      </c>
      <c r="H23" s="101">
        <f t="shared" ref="H23:J23" si="9">-H7*H24</f>
        <v>-1885.4979118812798</v>
      </c>
      <c r="I23" s="101">
        <f t="shared" si="9"/>
        <v>-2813.9104205553031</v>
      </c>
      <c r="J23" s="102">
        <f t="shared" si="9"/>
        <v>-3510.409389070468</v>
      </c>
    </row>
    <row r="24" spans="2:12" x14ac:dyDescent="0.3">
      <c r="B24" s="46" t="s">
        <v>152</v>
      </c>
      <c r="C24" s="6"/>
      <c r="D24" s="103">
        <f>-D23/$D$7</f>
        <v>0</v>
      </c>
      <c r="E24" s="103">
        <f>-E23/$E$7</f>
        <v>1.2233040979138795E-4</v>
      </c>
      <c r="F24" s="103">
        <f>-F23/$F$7</f>
        <v>1.0017308219997325E-3</v>
      </c>
      <c r="G24" s="103">
        <f>G47</f>
        <v>5.6203061589556028E-4</v>
      </c>
      <c r="H24" s="103">
        <f t="shared" ref="H24:J24" si="10">H47</f>
        <v>5.6203061589556028E-4</v>
      </c>
      <c r="I24" s="103">
        <f t="shared" si="10"/>
        <v>5.6203061589556028E-4</v>
      </c>
      <c r="J24" s="104">
        <f t="shared" si="10"/>
        <v>5.6203061589556028E-4</v>
      </c>
    </row>
    <row r="25" spans="2:12" x14ac:dyDescent="0.3">
      <c r="B25" s="46"/>
      <c r="C25" s="6"/>
      <c r="D25" s="105"/>
      <c r="E25" s="105"/>
      <c r="F25" s="105"/>
      <c r="G25" s="103"/>
      <c r="H25" s="103"/>
      <c r="I25" s="103"/>
      <c r="J25" s="104"/>
    </row>
    <row r="26" spans="2:12" x14ac:dyDescent="0.3">
      <c r="B26" s="46" t="s">
        <v>6</v>
      </c>
      <c r="C26" s="6"/>
      <c r="D26" s="98">
        <f>'Income Statement'!D19</f>
        <v>0</v>
      </c>
      <c r="E26" s="98">
        <f>'Income Statement'!E19</f>
        <v>0</v>
      </c>
      <c r="F26" s="98">
        <f>'Income Statement'!F19</f>
        <v>-5772</v>
      </c>
      <c r="G26" s="101">
        <f>-G7*G27</f>
        <v>-11437.317736794566</v>
      </c>
      <c r="H26" s="101">
        <f t="shared" ref="H26:J26" si="11">-H7*H27</f>
        <v>-17030.198771391661</v>
      </c>
      <c r="I26" s="101">
        <f t="shared" si="11"/>
        <v>-25415.808463629037</v>
      </c>
      <c r="J26" s="102">
        <f t="shared" si="11"/>
        <v>-31706.72812105127</v>
      </c>
    </row>
    <row r="27" spans="2:12" x14ac:dyDescent="0.3">
      <c r="B27" s="53" t="s">
        <v>152</v>
      </c>
      <c r="C27" s="54"/>
      <c r="D27" s="112">
        <f>-D26/$D$7</f>
        <v>0</v>
      </c>
      <c r="E27" s="112">
        <f>-E26/$E$7</f>
        <v>0</v>
      </c>
      <c r="F27" s="112">
        <f>-F26/$F$7</f>
        <v>5.0763742797036498E-3</v>
      </c>
      <c r="G27" s="112">
        <f>G51</f>
        <v>5.0763742797036498E-3</v>
      </c>
      <c r="H27" s="112">
        <f t="shared" ref="H27:J27" si="12">H51</f>
        <v>5.0763742797036498E-3</v>
      </c>
      <c r="I27" s="112">
        <f t="shared" si="12"/>
        <v>5.0763742797036498E-3</v>
      </c>
      <c r="J27" s="113">
        <f t="shared" si="12"/>
        <v>5.0763742797036498E-3</v>
      </c>
    </row>
    <row r="28" spans="2:12" x14ac:dyDescent="0.3">
      <c r="D28" s="29"/>
      <c r="E28" s="29"/>
      <c r="F28" s="29"/>
      <c r="G28" s="13"/>
      <c r="H28" s="13"/>
      <c r="I28" s="13"/>
      <c r="J28" s="13"/>
    </row>
    <row r="29" spans="2:12" x14ac:dyDescent="0.3">
      <c r="B29" s="31" t="s">
        <v>237</v>
      </c>
      <c r="C29" s="43"/>
      <c r="D29" s="43"/>
      <c r="E29" s="43"/>
      <c r="F29" s="43"/>
      <c r="G29" s="43"/>
      <c r="H29" s="43"/>
      <c r="I29" s="43"/>
      <c r="J29" s="89"/>
    </row>
    <row r="30" spans="2:12" x14ac:dyDescent="0.3">
      <c r="B30" s="46"/>
      <c r="C30" s="6" t="s">
        <v>243</v>
      </c>
      <c r="D30" s="6"/>
      <c r="E30" s="6"/>
      <c r="F30" s="6"/>
      <c r="G30" s="32">
        <v>0.7</v>
      </c>
      <c r="H30" s="32">
        <f t="shared" ref="H30:J32" si="13">G30</f>
        <v>0.7</v>
      </c>
      <c r="I30" s="32">
        <f t="shared" si="13"/>
        <v>0.7</v>
      </c>
      <c r="J30" s="33">
        <f t="shared" si="13"/>
        <v>0.7</v>
      </c>
      <c r="K30" s="6"/>
      <c r="L30" s="6"/>
    </row>
    <row r="31" spans="2:12" x14ac:dyDescent="0.3">
      <c r="B31" s="46" t="s">
        <v>238</v>
      </c>
      <c r="C31" s="6" t="s">
        <v>244</v>
      </c>
      <c r="D31" s="34">
        <f>D10</f>
        <v>0.21709883061519808</v>
      </c>
      <c r="E31" s="34">
        <f t="shared" ref="E31:F31" si="14">E10</f>
        <v>0.62522607898518412</v>
      </c>
      <c r="F31" s="34">
        <f t="shared" si="14"/>
        <v>0.62277842664058702</v>
      </c>
      <c r="G31" s="32">
        <f>AVERAGE(E31:F31)</f>
        <v>0.62400225281288557</v>
      </c>
      <c r="H31" s="32">
        <f t="shared" si="13"/>
        <v>0.62400225281288557</v>
      </c>
      <c r="I31" s="32">
        <f t="shared" si="13"/>
        <v>0.62400225281288557</v>
      </c>
      <c r="J31" s="33">
        <f t="shared" si="13"/>
        <v>0.62400225281288557</v>
      </c>
      <c r="K31" s="6"/>
      <c r="L31" s="6"/>
    </row>
    <row r="32" spans="2:12" x14ac:dyDescent="0.3">
      <c r="B32" s="46"/>
      <c r="C32" s="6" t="s">
        <v>245</v>
      </c>
      <c r="D32" s="6"/>
      <c r="E32" s="6"/>
      <c r="F32" s="6"/>
      <c r="G32" s="32">
        <v>0.5</v>
      </c>
      <c r="H32" s="32">
        <f t="shared" si="13"/>
        <v>0.5</v>
      </c>
      <c r="I32" s="32">
        <f t="shared" si="13"/>
        <v>0.5</v>
      </c>
      <c r="J32" s="33">
        <f t="shared" si="13"/>
        <v>0.5</v>
      </c>
      <c r="K32" s="6"/>
      <c r="L32" s="6"/>
    </row>
    <row r="33" spans="2:12 16318:16318" x14ac:dyDescent="0.3">
      <c r="B33" s="46"/>
      <c r="C33" s="6"/>
      <c r="D33" s="6"/>
      <c r="E33" s="6"/>
      <c r="F33" s="6"/>
      <c r="G33" s="35"/>
      <c r="H33" s="35"/>
      <c r="I33" s="35"/>
      <c r="J33" s="90"/>
      <c r="K33" s="6"/>
      <c r="L33" s="6"/>
    </row>
    <row r="34" spans="2:12 16318:16318" x14ac:dyDescent="0.3">
      <c r="B34" s="46"/>
      <c r="C34" s="6" t="s">
        <v>243</v>
      </c>
      <c r="D34" s="6"/>
      <c r="E34" s="6"/>
      <c r="F34" s="6"/>
      <c r="G34" s="32">
        <v>0</v>
      </c>
      <c r="H34" s="32">
        <f t="shared" ref="H34:J36" si="15">G34</f>
        <v>0</v>
      </c>
      <c r="I34" s="32">
        <f t="shared" si="15"/>
        <v>0</v>
      </c>
      <c r="J34" s="33">
        <f t="shared" si="15"/>
        <v>0</v>
      </c>
      <c r="K34" s="6"/>
      <c r="L34" s="6"/>
    </row>
    <row r="35" spans="2:12 16318:16318" x14ac:dyDescent="0.3">
      <c r="B35" s="46" t="s">
        <v>239</v>
      </c>
      <c r="C35" s="6" t="s">
        <v>244</v>
      </c>
      <c r="D35" s="34">
        <f>D13</f>
        <v>1.2964918455942743E-2</v>
      </c>
      <c r="E35" s="34">
        <f t="shared" ref="E35:F35" si="16">E13</f>
        <v>5.0480650116446158E-3</v>
      </c>
      <c r="F35" s="34">
        <f t="shared" si="16"/>
        <v>1.1628520569341936E-2</v>
      </c>
      <c r="G35" s="32">
        <f>AVERAGE(D35:F35)</f>
        <v>9.8805013456430973E-3</v>
      </c>
      <c r="H35" s="32">
        <f t="shared" si="15"/>
        <v>9.8805013456430973E-3</v>
      </c>
      <c r="I35" s="32">
        <f t="shared" si="15"/>
        <v>9.8805013456430973E-3</v>
      </c>
      <c r="J35" s="33">
        <f t="shared" si="15"/>
        <v>9.8805013456430973E-3</v>
      </c>
      <c r="K35" s="6"/>
      <c r="L35" s="6"/>
    </row>
    <row r="36" spans="2:12 16318:16318" x14ac:dyDescent="0.3">
      <c r="B36" s="46"/>
      <c r="C36" s="6" t="s">
        <v>245</v>
      </c>
      <c r="D36" s="6"/>
      <c r="E36" s="6"/>
      <c r="F36" s="6"/>
      <c r="G36" s="32">
        <v>0.02</v>
      </c>
      <c r="H36" s="32">
        <f t="shared" si="15"/>
        <v>0.02</v>
      </c>
      <c r="I36" s="32">
        <f t="shared" si="15"/>
        <v>0.02</v>
      </c>
      <c r="J36" s="33">
        <f t="shared" si="15"/>
        <v>0.02</v>
      </c>
      <c r="K36" s="6"/>
      <c r="L36" s="6"/>
    </row>
    <row r="37" spans="2:12 16318:16318" x14ac:dyDescent="0.3">
      <c r="B37" s="46"/>
      <c r="C37" s="6"/>
      <c r="D37" s="6"/>
      <c r="E37" s="6"/>
      <c r="F37" s="6"/>
      <c r="G37" s="35"/>
      <c r="H37" s="35"/>
      <c r="I37" s="35"/>
      <c r="J37" s="90"/>
      <c r="K37" s="6"/>
      <c r="L37" s="6"/>
    </row>
    <row r="38" spans="2:12 16318:16318" x14ac:dyDescent="0.3">
      <c r="B38" s="46"/>
      <c r="C38" s="6" t="s">
        <v>243</v>
      </c>
      <c r="D38" s="6"/>
      <c r="E38" s="6"/>
      <c r="F38" s="6"/>
      <c r="G38" s="32">
        <v>0.15</v>
      </c>
      <c r="H38" s="32">
        <f t="shared" ref="H38:J40" si="17">G38</f>
        <v>0.15</v>
      </c>
      <c r="I38" s="32">
        <f t="shared" si="17"/>
        <v>0.15</v>
      </c>
      <c r="J38" s="33">
        <f t="shared" si="17"/>
        <v>0.15</v>
      </c>
      <c r="K38" s="6"/>
      <c r="L38" s="6"/>
    </row>
    <row r="39" spans="2:12 16318:16318" x14ac:dyDescent="0.3">
      <c r="B39" s="46" t="s">
        <v>240</v>
      </c>
      <c r="C39" s="6" t="s">
        <v>244</v>
      </c>
      <c r="D39" s="34">
        <f>D16</f>
        <v>0.16815284133129962</v>
      </c>
      <c r="E39" s="34">
        <f t="shared" ref="E39:F39" si="18">E16</f>
        <v>7.1270625836182544E-2</v>
      </c>
      <c r="F39" s="34">
        <f t="shared" si="18"/>
        <v>9.4241850713084593E-2</v>
      </c>
      <c r="G39" s="32">
        <f>AVERAGE(D39:F39)</f>
        <v>0.11122177262685558</v>
      </c>
      <c r="H39" s="32">
        <f t="shared" si="17"/>
        <v>0.11122177262685558</v>
      </c>
      <c r="I39" s="32">
        <f t="shared" si="17"/>
        <v>0.11122177262685558</v>
      </c>
      <c r="J39" s="33">
        <f t="shared" si="17"/>
        <v>0.11122177262685558</v>
      </c>
      <c r="K39" s="6"/>
      <c r="L39" s="6"/>
      <c r="XCP39" s="13"/>
    </row>
    <row r="40" spans="2:12 16318:16318" x14ac:dyDescent="0.3">
      <c r="B40" s="46"/>
      <c r="C40" s="6" t="s">
        <v>245</v>
      </c>
      <c r="D40" s="6"/>
      <c r="E40" s="6"/>
      <c r="F40" s="6"/>
      <c r="G40" s="32">
        <v>0.05</v>
      </c>
      <c r="H40" s="32">
        <f t="shared" si="17"/>
        <v>0.05</v>
      </c>
      <c r="I40" s="32">
        <f t="shared" si="17"/>
        <v>0.05</v>
      </c>
      <c r="J40" s="33">
        <f t="shared" si="17"/>
        <v>0.05</v>
      </c>
      <c r="K40" s="6"/>
      <c r="L40" s="6"/>
    </row>
    <row r="41" spans="2:12 16318:16318" x14ac:dyDescent="0.3">
      <c r="B41" s="46"/>
      <c r="C41" s="6"/>
      <c r="D41" s="6"/>
      <c r="E41" s="6"/>
      <c r="F41" s="6"/>
      <c r="G41" s="35"/>
      <c r="H41" s="35"/>
      <c r="I41" s="35"/>
      <c r="J41" s="90"/>
      <c r="K41" s="6"/>
      <c r="L41" s="6"/>
    </row>
    <row r="42" spans="2:12 16318:16318" x14ac:dyDescent="0.3">
      <c r="B42" s="46"/>
      <c r="C42" s="6" t="s">
        <v>243</v>
      </c>
      <c r="D42" s="6"/>
      <c r="E42" s="6"/>
      <c r="F42" s="6"/>
      <c r="G42" s="32">
        <v>0.2</v>
      </c>
      <c r="H42" s="32">
        <f t="shared" ref="H42:J44" si="19">G42</f>
        <v>0.2</v>
      </c>
      <c r="I42" s="32">
        <f t="shared" si="19"/>
        <v>0.2</v>
      </c>
      <c r="J42" s="33">
        <f t="shared" si="19"/>
        <v>0.2</v>
      </c>
      <c r="K42" s="6"/>
      <c r="L42" s="6"/>
    </row>
    <row r="43" spans="2:12 16318:16318" x14ac:dyDescent="0.3">
      <c r="B43" s="46" t="s">
        <v>247</v>
      </c>
      <c r="C43" s="6" t="s">
        <v>244</v>
      </c>
      <c r="D43" s="34">
        <f>D19</f>
        <v>0.73364230122413865</v>
      </c>
      <c r="E43" s="34">
        <f t="shared" ref="E43:F43" si="20">E19</f>
        <v>0.12730569595163768</v>
      </c>
      <c r="F43" s="34">
        <f t="shared" si="20"/>
        <v>0.15263774458414539</v>
      </c>
      <c r="G43" s="32">
        <f>AVERAGE(E43:F43)</f>
        <v>0.13997172026789154</v>
      </c>
      <c r="H43" s="32">
        <f t="shared" si="19"/>
        <v>0.13997172026789154</v>
      </c>
      <c r="I43" s="32">
        <f t="shared" si="19"/>
        <v>0.13997172026789154</v>
      </c>
      <c r="J43" s="33">
        <f t="shared" si="19"/>
        <v>0.13997172026789154</v>
      </c>
      <c r="K43" s="6"/>
      <c r="L43" s="6"/>
    </row>
    <row r="44" spans="2:12 16318:16318" x14ac:dyDescent="0.3">
      <c r="B44" s="46"/>
      <c r="C44" s="6" t="s">
        <v>245</v>
      </c>
      <c r="D44" s="6"/>
      <c r="E44" s="6"/>
      <c r="F44" s="6"/>
      <c r="G44" s="32">
        <v>0.1</v>
      </c>
      <c r="H44" s="32">
        <f t="shared" si="19"/>
        <v>0.1</v>
      </c>
      <c r="I44" s="32">
        <f t="shared" si="19"/>
        <v>0.1</v>
      </c>
      <c r="J44" s="33">
        <f t="shared" si="19"/>
        <v>0.1</v>
      </c>
      <c r="K44" s="6"/>
      <c r="L44" s="6"/>
    </row>
    <row r="45" spans="2:12 16318:16318" x14ac:dyDescent="0.3">
      <c r="B45" s="46"/>
      <c r="C45" s="6"/>
      <c r="D45" s="6"/>
      <c r="E45" s="6"/>
      <c r="F45" s="6"/>
      <c r="G45" s="35"/>
      <c r="H45" s="35"/>
      <c r="I45" s="35"/>
      <c r="J45" s="90"/>
      <c r="K45" s="6"/>
      <c r="L45" s="6"/>
    </row>
    <row r="46" spans="2:12 16318:16318" x14ac:dyDescent="0.3">
      <c r="B46" s="46"/>
      <c r="C46" s="6" t="s">
        <v>243</v>
      </c>
      <c r="D46" s="6"/>
      <c r="E46" s="6"/>
      <c r="F46" s="6"/>
      <c r="G46" s="32">
        <v>1.1999999999999999E-3</v>
      </c>
      <c r="H46" s="32">
        <f t="shared" ref="H46:J48" si="21">G46</f>
        <v>1.1999999999999999E-3</v>
      </c>
      <c r="I46" s="32">
        <f t="shared" si="21"/>
        <v>1.1999999999999999E-3</v>
      </c>
      <c r="J46" s="33">
        <f t="shared" si="21"/>
        <v>1.1999999999999999E-3</v>
      </c>
      <c r="K46" s="6"/>
      <c r="L46" s="6"/>
    </row>
    <row r="47" spans="2:12 16318:16318" x14ac:dyDescent="0.3">
      <c r="B47" s="46" t="s">
        <v>241</v>
      </c>
      <c r="C47" s="6" t="s">
        <v>244</v>
      </c>
      <c r="D47" s="34">
        <f>D24</f>
        <v>0</v>
      </c>
      <c r="E47" s="34">
        <f t="shared" ref="E47:F47" si="22">E24</f>
        <v>1.2233040979138795E-4</v>
      </c>
      <c r="F47" s="34">
        <f t="shared" si="22"/>
        <v>1.0017308219997325E-3</v>
      </c>
      <c r="G47" s="32">
        <f>AVERAGE(E47:F47)</f>
        <v>5.6203061589556028E-4</v>
      </c>
      <c r="H47" s="32">
        <f t="shared" si="21"/>
        <v>5.6203061589556028E-4</v>
      </c>
      <c r="I47" s="32">
        <f t="shared" si="21"/>
        <v>5.6203061589556028E-4</v>
      </c>
      <c r="J47" s="33">
        <f t="shared" si="21"/>
        <v>5.6203061589556028E-4</v>
      </c>
      <c r="K47" s="6"/>
      <c r="L47" s="6"/>
    </row>
    <row r="48" spans="2:12 16318:16318" x14ac:dyDescent="0.3">
      <c r="B48" s="46"/>
      <c r="C48" s="6" t="s">
        <v>245</v>
      </c>
      <c r="D48" s="6"/>
      <c r="E48" s="6"/>
      <c r="F48" s="6"/>
      <c r="G48" s="32">
        <v>2.9999999999999997E-4</v>
      </c>
      <c r="H48" s="32">
        <f t="shared" si="21"/>
        <v>2.9999999999999997E-4</v>
      </c>
      <c r="I48" s="32">
        <f t="shared" si="21"/>
        <v>2.9999999999999997E-4</v>
      </c>
      <c r="J48" s="33">
        <f t="shared" si="21"/>
        <v>2.9999999999999997E-4</v>
      </c>
      <c r="K48" s="6"/>
      <c r="L48" s="6"/>
    </row>
    <row r="49" spans="2:12" x14ac:dyDescent="0.3">
      <c r="B49" s="46"/>
      <c r="C49" s="6"/>
      <c r="D49" s="6"/>
      <c r="E49" s="6"/>
      <c r="F49" s="6"/>
      <c r="G49" s="35"/>
      <c r="H49" s="35"/>
      <c r="I49" s="35"/>
      <c r="J49" s="90"/>
      <c r="K49" s="6"/>
      <c r="L49" s="6"/>
    </row>
    <row r="50" spans="2:12" x14ac:dyDescent="0.3">
      <c r="B50" s="46"/>
      <c r="C50" s="6" t="s">
        <v>243</v>
      </c>
      <c r="D50" s="6"/>
      <c r="E50" s="6"/>
      <c r="F50" s="6"/>
      <c r="G50" s="32">
        <v>7.4999999999999997E-3</v>
      </c>
      <c r="H50" s="32">
        <f t="shared" ref="H50:J52" si="23">G50</f>
        <v>7.4999999999999997E-3</v>
      </c>
      <c r="I50" s="32">
        <f t="shared" si="23"/>
        <v>7.4999999999999997E-3</v>
      </c>
      <c r="J50" s="33">
        <f t="shared" si="23"/>
        <v>7.4999999999999997E-3</v>
      </c>
      <c r="K50" s="6"/>
      <c r="L50" s="6"/>
    </row>
    <row r="51" spans="2:12" x14ac:dyDescent="0.3">
      <c r="B51" s="46" t="s">
        <v>242</v>
      </c>
      <c r="C51" s="6" t="s">
        <v>244</v>
      </c>
      <c r="D51" s="34">
        <f>D27</f>
        <v>0</v>
      </c>
      <c r="E51" s="34">
        <f t="shared" ref="E51:F51" si="24">E27</f>
        <v>0</v>
      </c>
      <c r="F51" s="34">
        <f t="shared" si="24"/>
        <v>5.0763742797036498E-3</v>
      </c>
      <c r="G51" s="32">
        <f>F51</f>
        <v>5.0763742797036498E-3</v>
      </c>
      <c r="H51" s="32">
        <f t="shared" si="23"/>
        <v>5.0763742797036498E-3</v>
      </c>
      <c r="I51" s="32">
        <f t="shared" si="23"/>
        <v>5.0763742797036498E-3</v>
      </c>
      <c r="J51" s="33">
        <f t="shared" si="23"/>
        <v>5.0763742797036498E-3</v>
      </c>
      <c r="K51" s="6"/>
      <c r="L51" s="6"/>
    </row>
    <row r="52" spans="2:12" x14ac:dyDescent="0.3">
      <c r="B52" s="53"/>
      <c r="C52" s="54" t="s">
        <v>245</v>
      </c>
      <c r="D52" s="54"/>
      <c r="E52" s="54"/>
      <c r="F52" s="54"/>
      <c r="G52" s="91">
        <v>2.5000000000000001E-3</v>
      </c>
      <c r="H52" s="91">
        <f t="shared" si="23"/>
        <v>2.5000000000000001E-3</v>
      </c>
      <c r="I52" s="91">
        <f t="shared" si="23"/>
        <v>2.5000000000000001E-3</v>
      </c>
      <c r="J52" s="92">
        <f t="shared" si="23"/>
        <v>2.5000000000000001E-3</v>
      </c>
      <c r="K52" s="6"/>
      <c r="L52" s="6"/>
    </row>
    <row r="53" spans="2:12" x14ac:dyDescent="0.3">
      <c r="E53" s="6"/>
      <c r="F53" s="6"/>
      <c r="G53" s="6"/>
      <c r="H53" s="6"/>
      <c r="I53" s="6"/>
      <c r="J53" s="6"/>
      <c r="K53" s="6"/>
      <c r="L53" s="6"/>
    </row>
  </sheetData>
  <mergeCells count="2">
    <mergeCell ref="D4:F4"/>
    <mergeCell ref="G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92C37-6237-4FDB-95F6-C1AB19AF6993}">
  <dimension ref="A2:M20"/>
  <sheetViews>
    <sheetView workbookViewId="0">
      <selection activeCell="L1" sqref="L1:M1048576"/>
    </sheetView>
  </sheetViews>
  <sheetFormatPr defaultRowHeight="14.4" x14ac:dyDescent="0.3"/>
  <cols>
    <col min="2" max="2" width="37.88671875" bestFit="1" customWidth="1"/>
    <col min="7" max="7" width="11.44140625" bestFit="1" customWidth="1"/>
    <col min="8" max="10" width="10.33203125" bestFit="1" customWidth="1"/>
    <col min="12" max="13" width="0" hidden="1" customWidth="1"/>
  </cols>
  <sheetData>
    <row r="2" spans="1:13" x14ac:dyDescent="0.3">
      <c r="B2" s="213"/>
      <c r="C2" s="172"/>
      <c r="D2" s="357" t="s">
        <v>232</v>
      </c>
      <c r="E2" s="357"/>
      <c r="F2" s="357"/>
      <c r="G2" s="359" t="s">
        <v>233</v>
      </c>
      <c r="H2" s="359"/>
      <c r="I2" s="359"/>
      <c r="J2" s="360"/>
    </row>
    <row r="3" spans="1:13" ht="15" thickBot="1" x14ac:dyDescent="0.35">
      <c r="B3" s="48" t="s">
        <v>293</v>
      </c>
      <c r="C3" s="6"/>
      <c r="D3" s="26" t="s">
        <v>234</v>
      </c>
      <c r="E3" s="26" t="s">
        <v>235</v>
      </c>
      <c r="F3" s="26" t="s">
        <v>236</v>
      </c>
      <c r="G3" s="26" t="s">
        <v>114</v>
      </c>
      <c r="H3" s="26" t="s">
        <v>115</v>
      </c>
      <c r="I3" s="26" t="s">
        <v>116</v>
      </c>
      <c r="J3" s="49" t="s">
        <v>117</v>
      </c>
    </row>
    <row r="4" spans="1:13" x14ac:dyDescent="0.3">
      <c r="A4" s="6"/>
      <c r="B4" s="46"/>
      <c r="C4" s="6"/>
      <c r="D4" s="6"/>
      <c r="E4" s="6"/>
      <c r="F4" s="6"/>
      <c r="G4" s="6"/>
      <c r="H4" s="6"/>
      <c r="I4" s="6"/>
      <c r="J4" s="47"/>
    </row>
    <row r="5" spans="1:13" x14ac:dyDescent="0.3">
      <c r="A5" s="6"/>
      <c r="B5" s="46" t="s">
        <v>26</v>
      </c>
      <c r="C5" s="6"/>
      <c r="D5" s="51">
        <f>'Balance Sheet'!D16</f>
        <v>0</v>
      </c>
      <c r="E5" s="51">
        <f>'Balance Sheet'!E16</f>
        <v>188</v>
      </c>
      <c r="F5" s="51">
        <f>'Balance Sheet'!F16</f>
        <v>0</v>
      </c>
      <c r="G5" s="116">
        <f>-G6*'Income Statement'!G10/360</f>
        <v>256.96764556825809</v>
      </c>
      <c r="H5" s="116">
        <f>-H6*'Income Statement'!H10/360</f>
        <v>382.62555806816613</v>
      </c>
      <c r="I5" s="116">
        <f>-I6*'Income Statement'!I10/360</f>
        <v>571.02903070549439</v>
      </c>
      <c r="J5" s="117">
        <f>-J6*'Income Statement'!J10/360</f>
        <v>712.37010822284628</v>
      </c>
      <c r="L5" t="s">
        <v>590</v>
      </c>
    </row>
    <row r="6" spans="1:13" x14ac:dyDescent="0.3">
      <c r="A6" s="6"/>
      <c r="B6" s="46"/>
      <c r="C6" s="6"/>
      <c r="D6" s="6"/>
      <c r="E6" s="207">
        <f>-AVERAGE(D5:E5)*360/'Income Statement'!E10</f>
        <v>8.3810920186444621E-2</v>
      </c>
      <c r="F6" s="207">
        <f>-AVERAGE(E5:F5)*360/'Income Statement'!F10</f>
        <v>4.778857790851538E-2</v>
      </c>
      <c r="G6" s="207">
        <f>AVERAGE(E6:F6)</f>
        <v>6.5799749047479997E-2</v>
      </c>
      <c r="H6" s="207">
        <f>G6</f>
        <v>6.5799749047479997E-2</v>
      </c>
      <c r="I6" s="207">
        <f t="shared" ref="I6:J6" si="0">H6</f>
        <v>6.5799749047479997E-2</v>
      </c>
      <c r="J6" s="306">
        <f t="shared" si="0"/>
        <v>6.5799749047479997E-2</v>
      </c>
    </row>
    <row r="7" spans="1:13" x14ac:dyDescent="0.3">
      <c r="A7" s="6"/>
      <c r="B7" s="46" t="s">
        <v>27</v>
      </c>
      <c r="C7" s="6"/>
      <c r="D7" s="51">
        <f>'Balance Sheet'!D17</f>
        <v>4377</v>
      </c>
      <c r="E7" s="51">
        <f>'Balance Sheet'!E17</f>
        <v>14474</v>
      </c>
      <c r="F7" s="51">
        <f>'Balance Sheet'!F17</f>
        <v>114963</v>
      </c>
      <c r="G7" s="116">
        <f>G8*'Income Statement'!G7/360</f>
        <v>80562.324008863099</v>
      </c>
      <c r="H7" s="116">
        <f>H8*'Income Statement'!H7/360</f>
        <v>119957.53050930916</v>
      </c>
      <c r="I7" s="116">
        <f>I8*'Income Statement'!I7/360</f>
        <v>179024.19461575066</v>
      </c>
      <c r="J7" s="117">
        <f>J8*'Income Statement'!J7/360</f>
        <v>223336.25443765568</v>
      </c>
      <c r="L7" t="s">
        <v>589</v>
      </c>
    </row>
    <row r="8" spans="1:13" x14ac:dyDescent="0.3">
      <c r="A8" s="6"/>
      <c r="B8" s="46"/>
      <c r="C8" s="6"/>
      <c r="D8" s="6"/>
      <c r="E8" s="207">
        <f>AVERAGE(D7:E7)*360/'Income Statement'!E7</f>
        <v>5.2542924037460974</v>
      </c>
      <c r="F8" s="207">
        <f>AVERAGE(E7:F7)*360/'Income Statement'!F7</f>
        <v>20.490768949334758</v>
      </c>
      <c r="G8" s="207">
        <f>AVERAGE(E8:F8)</f>
        <v>12.872530676540428</v>
      </c>
      <c r="H8" s="207">
        <f>G8</f>
        <v>12.872530676540428</v>
      </c>
      <c r="I8" s="207">
        <f t="shared" ref="I8:J8" si="1">H8</f>
        <v>12.872530676540428</v>
      </c>
      <c r="J8" s="306">
        <f t="shared" si="1"/>
        <v>12.872530676540428</v>
      </c>
    </row>
    <row r="9" spans="1:13" x14ac:dyDescent="0.3">
      <c r="A9" s="6"/>
      <c r="B9" s="46" t="s">
        <v>22</v>
      </c>
      <c r="C9" s="6"/>
      <c r="D9" s="51">
        <f>'Balance Sheet'!D18</f>
        <v>3402</v>
      </c>
      <c r="E9" s="51">
        <f>'Balance Sheet'!E18</f>
        <v>13819</v>
      </c>
      <c r="F9" s="51">
        <f>'Balance Sheet'!F18</f>
        <v>46570</v>
      </c>
      <c r="G9" s="116">
        <f>-G10*('Income Statement'!G14+'Income Statement'!G15)/360</f>
        <v>49438.352228919881</v>
      </c>
      <c r="H9" s="116">
        <f>-H10*('Income Statement'!H14+'Income Statement'!H15)/360</f>
        <v>73613.847648910712</v>
      </c>
      <c r="I9" s="116">
        <f>-I10*('Income Statement'!I14+'Income Statement'!I15)/360</f>
        <v>109861.04608822451</v>
      </c>
      <c r="J9" s="117">
        <f>-J10*('Income Statement'!J14+'Income Statement'!J15)/360</f>
        <v>137053.84679768884</v>
      </c>
      <c r="L9" t="s">
        <v>588</v>
      </c>
    </row>
    <row r="10" spans="1:13" x14ac:dyDescent="0.3">
      <c r="A10" s="6"/>
      <c r="B10" s="46"/>
      <c r="C10" s="6"/>
      <c r="D10" s="6"/>
      <c r="E10" s="207">
        <f>-AVERAGE(D9:E9)*360/('Income Statement'!E14+'Income Statement'!E15)</f>
        <v>24.171897784605306</v>
      </c>
      <c r="F10" s="207">
        <f>-AVERAGE(E9:F9)*360/('Income Statement'!F14+'Income Statement'!F15)</f>
        <v>38.723308752805387</v>
      </c>
      <c r="G10" s="207">
        <f>AVERAGE(E10:F10)</f>
        <v>31.447603268705347</v>
      </c>
      <c r="H10" s="207">
        <f>G10</f>
        <v>31.447603268705347</v>
      </c>
      <c r="I10" s="207">
        <f t="shared" ref="I10:J10" si="2">H10</f>
        <v>31.447603268705347</v>
      </c>
      <c r="J10" s="306">
        <f t="shared" si="2"/>
        <v>31.447603268705347</v>
      </c>
    </row>
    <row r="11" spans="1:13" x14ac:dyDescent="0.3">
      <c r="A11" s="6"/>
      <c r="B11" s="46"/>
      <c r="C11" s="6"/>
      <c r="D11" s="6"/>
      <c r="E11" s="207"/>
      <c r="F11" s="207"/>
      <c r="G11" s="207"/>
      <c r="H11" s="207"/>
      <c r="I11" s="207"/>
      <c r="J11" s="306"/>
    </row>
    <row r="12" spans="1:13" x14ac:dyDescent="0.3">
      <c r="A12" s="6"/>
      <c r="B12" s="46" t="s">
        <v>34</v>
      </c>
      <c r="C12" s="6"/>
      <c r="D12" s="51">
        <f>'Balance Sheet'!D27</f>
        <v>4915</v>
      </c>
      <c r="E12" s="51">
        <f>'Balance Sheet'!E27</f>
        <v>93087</v>
      </c>
      <c r="F12" s="51">
        <f>'Balance Sheet'!F27</f>
        <v>63209</v>
      </c>
      <c r="G12" s="116">
        <f>-G13*'Income Statement'!G10/360</f>
        <v>117158.94784773474</v>
      </c>
      <c r="H12" s="116">
        <f>-H13*'Income Statement'!H10/360</f>
        <v>174450.00791358794</v>
      </c>
      <c r="I12" s="116">
        <f>-I13*'Income Statement'!I10/360</f>
        <v>260348.57532364572</v>
      </c>
      <c r="J12" s="117">
        <f>-J13*'Income Statement'!J10/360</f>
        <v>324790.0418474903</v>
      </c>
      <c r="L12" t="s">
        <v>584</v>
      </c>
      <c r="M12" t="s">
        <v>586</v>
      </c>
    </row>
    <row r="13" spans="1:13" x14ac:dyDescent="0.3">
      <c r="A13" s="6"/>
      <c r="B13" s="46"/>
      <c r="C13" s="6"/>
      <c r="D13" s="6"/>
      <c r="E13" s="207">
        <f>-AVERAGE(D12:E12)*360/'Income Statement'!E10</f>
        <v>43.689562766552903</v>
      </c>
      <c r="F13" s="207">
        <f>-AVERAGE(E12:F12)*360/'Income Statement'!F10</f>
        <v>39.729593472283611</v>
      </c>
      <c r="G13" s="207">
        <v>30</v>
      </c>
      <c r="H13" s="207">
        <f>G13</f>
        <v>30</v>
      </c>
      <c r="I13" s="207">
        <f t="shared" ref="I13:J13" si="3">H13</f>
        <v>30</v>
      </c>
      <c r="J13" s="306">
        <f t="shared" si="3"/>
        <v>30</v>
      </c>
      <c r="M13" t="s">
        <v>591</v>
      </c>
    </row>
    <row r="14" spans="1:13" x14ac:dyDescent="0.3">
      <c r="A14" s="6"/>
      <c r="B14" s="46" t="s">
        <v>36</v>
      </c>
      <c r="C14" s="6"/>
      <c r="D14" s="51">
        <f>'Balance Sheet'!D29</f>
        <v>0</v>
      </c>
      <c r="E14" s="51">
        <f>'Balance Sheet'!E29</f>
        <v>27522</v>
      </c>
      <c r="F14" s="51">
        <f>'Balance Sheet'!F29</f>
        <v>20657</v>
      </c>
      <c r="G14" s="51">
        <f>-G15*('Income Statement'!G14+'Income Statement'!G15)/360</f>
        <v>54649.309176262977</v>
      </c>
      <c r="H14" s="51">
        <f>-H15*('Income Statement'!H14+'Income Statement'!H15)/360</f>
        <v>81372.977424323297</v>
      </c>
      <c r="I14" s="51">
        <f>-I15*('Income Statement'!I14+'Income Statement'!I15)/360</f>
        <v>121440.74394516338</v>
      </c>
      <c r="J14" s="52">
        <f>-J15*('Income Statement'!J14+'Income Statement'!J15)/360</f>
        <v>151499.75089707223</v>
      </c>
      <c r="L14" t="s">
        <v>585</v>
      </c>
    </row>
    <row r="15" spans="1:13" x14ac:dyDescent="0.3">
      <c r="A15" s="6"/>
      <c r="B15" s="46"/>
      <c r="C15" s="6"/>
      <c r="D15" s="6"/>
      <c r="E15" s="64">
        <f>-AVERAGE(D14:E14)*360/('Income Statement'!E14+'Income Statement'!E15)</f>
        <v>38.630681773875345</v>
      </c>
      <c r="F15" s="64">
        <f>-AVERAGE(E14:F14)*360/('Income Statement'!F14+'Income Statement'!F15)</f>
        <v>30.893876242385382</v>
      </c>
      <c r="G15" s="64">
        <f>AVERAGE(E15:F15)</f>
        <v>34.762279008130363</v>
      </c>
      <c r="H15" s="64">
        <f>G15</f>
        <v>34.762279008130363</v>
      </c>
      <c r="I15" s="64">
        <f t="shared" ref="I15:J15" si="4">H15</f>
        <v>34.762279008130363</v>
      </c>
      <c r="J15" s="65">
        <f t="shared" si="4"/>
        <v>34.762279008130363</v>
      </c>
    </row>
    <row r="16" spans="1:13" x14ac:dyDescent="0.3">
      <c r="A16" s="6"/>
      <c r="B16" s="46" t="s">
        <v>35</v>
      </c>
      <c r="C16" s="6"/>
      <c r="D16" s="51">
        <f>'Balance Sheet'!D28</f>
        <v>32726</v>
      </c>
      <c r="E16" s="51">
        <f>'Balance Sheet'!E28</f>
        <v>90195</v>
      </c>
      <c r="F16" s="51">
        <f>'Balance Sheet'!F28</f>
        <v>88443</v>
      </c>
      <c r="G16" s="51">
        <f>-G17*'Income Statement'!G10/360</f>
        <v>156211.93046364633</v>
      </c>
      <c r="H16" s="51">
        <f>-H17*'Income Statement'!H10/360</f>
        <v>232600.01055145057</v>
      </c>
      <c r="I16" s="51">
        <f>-I17*'Income Statement'!I10/360</f>
        <v>347131.43376486097</v>
      </c>
      <c r="J16" s="52">
        <f>-J17*'Income Statement'!J10/360</f>
        <v>433053.3891299871</v>
      </c>
      <c r="L16" t="s">
        <v>584</v>
      </c>
      <c r="M16" t="s">
        <v>587</v>
      </c>
    </row>
    <row r="17" spans="1:13" x14ac:dyDescent="0.3">
      <c r="A17" s="6"/>
      <c r="B17" s="53"/>
      <c r="C17" s="54"/>
      <c r="D17" s="54"/>
      <c r="E17" s="309">
        <f>-AVERAGE(D16:E16)*360/'Income Statement'!E10</f>
        <v>54.798521916159359</v>
      </c>
      <c r="F17" s="309">
        <f>-AVERAGE(E16:F16)*360/'Income Statement'!F10</f>
        <v>45.408808406496647</v>
      </c>
      <c r="G17" s="309">
        <v>40</v>
      </c>
      <c r="H17" s="309">
        <f>G17</f>
        <v>40</v>
      </c>
      <c r="I17" s="309">
        <f t="shared" ref="I17:J17" si="5">H17</f>
        <v>40</v>
      </c>
      <c r="J17" s="310">
        <f t="shared" si="5"/>
        <v>40</v>
      </c>
      <c r="M17" t="s">
        <v>592</v>
      </c>
    </row>
    <row r="19" spans="1:13" x14ac:dyDescent="0.3">
      <c r="B19" s="213" t="s">
        <v>663</v>
      </c>
      <c r="C19" s="311"/>
      <c r="D19" s="311">
        <f>D5+D7+D9-D12-D14-D16</f>
        <v>-29862</v>
      </c>
      <c r="E19" s="311">
        <f t="shared" ref="E19:J19" si="6">E5+E7+E9-E12-E14-E16</f>
        <v>-182323</v>
      </c>
      <c r="F19" s="311">
        <f t="shared" si="6"/>
        <v>-10776</v>
      </c>
      <c r="G19" s="311">
        <f t="shared" si="6"/>
        <v>-197762.54360429282</v>
      </c>
      <c r="H19" s="311">
        <f t="shared" si="6"/>
        <v>-294468.99217307381</v>
      </c>
      <c r="I19" s="311">
        <f t="shared" si="6"/>
        <v>-439464.48329898942</v>
      </c>
      <c r="J19" s="312">
        <f t="shared" si="6"/>
        <v>-548240.71053098224</v>
      </c>
    </row>
    <row r="20" spans="1:13" x14ac:dyDescent="0.3">
      <c r="B20" s="53" t="s">
        <v>662</v>
      </c>
      <c r="C20" s="54"/>
      <c r="D20" s="54"/>
      <c r="E20" s="307">
        <f>E19-D19</f>
        <v>-152461</v>
      </c>
      <c r="F20" s="307">
        <f t="shared" ref="F20:I20" si="7">F19-E19</f>
        <v>171547</v>
      </c>
      <c r="G20" s="307">
        <f t="shared" si="7"/>
        <v>-186986.54360429282</v>
      </c>
      <c r="H20" s="307">
        <f t="shared" si="7"/>
        <v>-96706.448568780994</v>
      </c>
      <c r="I20" s="307">
        <f t="shared" si="7"/>
        <v>-144995.49112591561</v>
      </c>
      <c r="J20" s="308">
        <f>J19-I19</f>
        <v>-108776.22723199282</v>
      </c>
    </row>
  </sheetData>
  <mergeCells count="2">
    <mergeCell ref="D2:F2"/>
    <mergeCell ref="G2:J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2FA8E-13FD-49A1-8822-0A91CB36020E}">
  <dimension ref="A1:Q20"/>
  <sheetViews>
    <sheetView workbookViewId="0">
      <selection activeCell="J14" sqref="B2:J14"/>
    </sheetView>
  </sheetViews>
  <sheetFormatPr defaultRowHeight="14.4" x14ac:dyDescent="0.3"/>
  <cols>
    <col min="2" max="2" width="30.6640625" bestFit="1" customWidth="1"/>
    <col min="8" max="10" width="9.77734375" bestFit="1" customWidth="1"/>
  </cols>
  <sheetData>
    <row r="1" spans="1:17" x14ac:dyDescent="0.3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7" x14ac:dyDescent="0.3">
      <c r="A2" s="19"/>
      <c r="B2" s="213"/>
      <c r="C2" s="172"/>
      <c r="D2" s="357" t="s">
        <v>232</v>
      </c>
      <c r="E2" s="357"/>
      <c r="F2" s="357"/>
      <c r="G2" s="359" t="s">
        <v>233</v>
      </c>
      <c r="H2" s="359"/>
      <c r="I2" s="359"/>
      <c r="J2" s="360"/>
      <c r="K2" s="19"/>
      <c r="L2" s="19"/>
      <c r="M2" s="19"/>
      <c r="N2" s="19"/>
      <c r="O2" s="19"/>
      <c r="P2" s="19"/>
      <c r="Q2" s="19"/>
    </row>
    <row r="3" spans="1:17" x14ac:dyDescent="0.3">
      <c r="A3" s="19"/>
      <c r="B3" s="214" t="s">
        <v>293</v>
      </c>
      <c r="C3" s="54"/>
      <c r="D3" s="215" t="s">
        <v>234</v>
      </c>
      <c r="E3" s="215" t="s">
        <v>235</v>
      </c>
      <c r="F3" s="215" t="s">
        <v>236</v>
      </c>
      <c r="G3" s="215" t="s">
        <v>114</v>
      </c>
      <c r="H3" s="215" t="s">
        <v>115</v>
      </c>
      <c r="I3" s="215" t="s">
        <v>116</v>
      </c>
      <c r="J3" s="216" t="s">
        <v>117</v>
      </c>
      <c r="K3" s="19"/>
      <c r="L3" s="19"/>
      <c r="M3" s="19"/>
      <c r="N3" s="19"/>
      <c r="O3" s="19"/>
      <c r="P3" s="19"/>
      <c r="Q3" s="19"/>
    </row>
    <row r="4" spans="1:17" x14ac:dyDescent="0.3">
      <c r="A4" s="19"/>
      <c r="B4" s="80"/>
      <c r="C4" s="8"/>
      <c r="D4" s="8"/>
      <c r="E4" s="8"/>
      <c r="F4" s="8"/>
      <c r="G4" s="8"/>
      <c r="H4" s="8"/>
      <c r="I4" s="8"/>
      <c r="J4" s="83"/>
      <c r="K4" s="19"/>
      <c r="L4" s="19"/>
      <c r="M4" s="19"/>
      <c r="N4" s="19"/>
      <c r="O4" s="19"/>
      <c r="P4" s="19"/>
      <c r="Q4" s="19"/>
    </row>
    <row r="5" spans="1:17" x14ac:dyDescent="0.3">
      <c r="A5" s="19"/>
      <c r="B5" s="313" t="s">
        <v>593</v>
      </c>
      <c r="C5" s="314"/>
      <c r="D5" s="315"/>
      <c r="E5" s="315"/>
      <c r="F5" s="315"/>
      <c r="G5" s="316"/>
      <c r="H5" s="316"/>
      <c r="I5" s="316"/>
      <c r="J5" s="317"/>
      <c r="K5" s="208"/>
      <c r="M5" s="19"/>
      <c r="N5" s="19"/>
      <c r="O5" s="19"/>
      <c r="P5" s="19"/>
      <c r="Q5" s="19"/>
    </row>
    <row r="6" spans="1:17" x14ac:dyDescent="0.3">
      <c r="A6" s="19"/>
      <c r="B6" s="318" t="s">
        <v>594</v>
      </c>
      <c r="C6" s="319"/>
      <c r="D6" s="319"/>
      <c r="E6" s="212"/>
      <c r="F6" s="212"/>
      <c r="G6" s="212">
        <f>F14</f>
        <v>281565</v>
      </c>
      <c r="H6" s="212">
        <f ca="1">G14</f>
        <v>452492.53549027984</v>
      </c>
      <c r="I6" s="212">
        <f t="shared" ref="I6:J6" ca="1" si="0">H14</f>
        <v>659894.82885062159</v>
      </c>
      <c r="J6" s="320">
        <f t="shared" ca="1" si="0"/>
        <v>1075983.6388897686</v>
      </c>
      <c r="K6" s="209"/>
      <c r="L6" s="19"/>
      <c r="M6" s="19"/>
      <c r="N6" s="19"/>
      <c r="O6" s="19"/>
      <c r="P6" s="19"/>
      <c r="Q6" s="19"/>
    </row>
    <row r="7" spans="1:17" x14ac:dyDescent="0.3">
      <c r="A7" s="19"/>
      <c r="B7" s="333" t="s">
        <v>595</v>
      </c>
      <c r="C7" s="220"/>
      <c r="D7" s="220"/>
      <c r="E7" s="211"/>
      <c r="F7" s="211"/>
      <c r="G7" s="211">
        <f ca="1">'Cash Flow Statement'!G34+'Cash Flow Statement'!G45+'Cash Flow Statement'!G54+'Cash Flow Statement'!G58</f>
        <v>170927.53549027984</v>
      </c>
      <c r="H7" s="211">
        <f ca="1">'Cash Flow Statement'!H34+'Cash Flow Statement'!H45+'Cash Flow Statement'!H54+'Cash Flow Statement'!H58</f>
        <v>207402.29336034181</v>
      </c>
      <c r="I7" s="211">
        <f ca="1">'Cash Flow Statement'!I34+'Cash Flow Statement'!I45+'Cash Flow Statement'!I54+'Cash Flow Statement'!I58</f>
        <v>416088.81003914709</v>
      </c>
      <c r="J7" s="321">
        <f ca="1">'Cash Flow Statement'!J34+'Cash Flow Statement'!J45+'Cash Flow Statement'!J54+'Cash Flow Statement'!J58</f>
        <v>472294.11264957814</v>
      </c>
      <c r="K7" s="209"/>
      <c r="L7" s="19"/>
      <c r="M7" s="19"/>
      <c r="N7" s="19"/>
      <c r="O7" s="19"/>
      <c r="P7" s="19"/>
      <c r="Q7" s="19"/>
    </row>
    <row r="8" spans="1:17" x14ac:dyDescent="0.3">
      <c r="A8" s="19"/>
      <c r="B8" s="313" t="s">
        <v>596</v>
      </c>
      <c r="C8" s="322"/>
      <c r="D8" s="323"/>
      <c r="E8" s="323"/>
      <c r="F8" s="323"/>
      <c r="G8" s="323">
        <f ca="1">SUM(G6:G7)</f>
        <v>452492.53549027984</v>
      </c>
      <c r="H8" s="323">
        <f ca="1">SUM(H6:H7)</f>
        <v>659894.82885062159</v>
      </c>
      <c r="I8" s="323">
        <f ca="1">SUM(I6:I7)</f>
        <v>1075983.6388897686</v>
      </c>
      <c r="J8" s="324">
        <f ca="1">SUM(J6:J7)</f>
        <v>1548277.7515393468</v>
      </c>
      <c r="K8" s="210"/>
      <c r="L8" s="19"/>
      <c r="M8" s="19"/>
      <c r="N8" s="19"/>
      <c r="O8" s="19"/>
      <c r="P8" s="19"/>
      <c r="Q8" s="19"/>
    </row>
    <row r="9" spans="1:17" x14ac:dyDescent="0.3">
      <c r="A9" s="19"/>
      <c r="B9" s="80"/>
      <c r="C9" s="8"/>
      <c r="D9" s="8"/>
      <c r="E9" s="8"/>
      <c r="F9" s="8"/>
      <c r="G9" s="8"/>
      <c r="H9" s="8"/>
      <c r="I9" s="8"/>
      <c r="J9" s="83"/>
      <c r="K9" s="19"/>
      <c r="L9" s="19"/>
      <c r="M9" s="19"/>
      <c r="N9" s="19"/>
      <c r="O9" s="19"/>
      <c r="P9" s="19"/>
      <c r="Q9" s="19"/>
    </row>
    <row r="10" spans="1:17" x14ac:dyDescent="0.3">
      <c r="A10" s="19"/>
      <c r="B10" s="334" t="s">
        <v>597</v>
      </c>
      <c r="C10" s="220"/>
      <c r="D10" s="217"/>
      <c r="E10" s="218"/>
      <c r="F10" s="218"/>
      <c r="G10" s="211">
        <v>0</v>
      </c>
      <c r="H10" s="211">
        <v>0</v>
      </c>
      <c r="I10" s="211">
        <v>0</v>
      </c>
      <c r="J10" s="321">
        <v>0</v>
      </c>
      <c r="K10" s="212"/>
      <c r="L10" s="19"/>
      <c r="M10" s="19"/>
      <c r="N10" s="19"/>
      <c r="O10" s="19"/>
      <c r="P10" s="19"/>
      <c r="Q10" s="19"/>
    </row>
    <row r="11" spans="1:17" x14ac:dyDescent="0.3">
      <c r="A11" s="19"/>
      <c r="B11" s="313"/>
      <c r="C11" s="319"/>
      <c r="D11" s="325"/>
      <c r="E11" s="326"/>
      <c r="F11" s="326"/>
      <c r="G11" s="212"/>
      <c r="H11" s="212"/>
      <c r="I11" s="212"/>
      <c r="J11" s="320"/>
      <c r="K11" s="212"/>
      <c r="L11" s="19"/>
      <c r="M11" s="19"/>
      <c r="N11" s="19"/>
      <c r="O11" s="19"/>
      <c r="P11" s="19"/>
      <c r="Q11" s="19"/>
    </row>
    <row r="12" spans="1:17" x14ac:dyDescent="0.3">
      <c r="A12" s="19"/>
      <c r="B12" s="334" t="s">
        <v>598</v>
      </c>
      <c r="C12" s="220"/>
      <c r="D12" s="211"/>
      <c r="E12" s="211"/>
      <c r="F12" s="211"/>
      <c r="G12" s="211">
        <v>0</v>
      </c>
      <c r="H12" s="211">
        <v>0</v>
      </c>
      <c r="I12" s="211">
        <v>0</v>
      </c>
      <c r="J12" s="321">
        <v>0</v>
      </c>
      <c r="K12" s="6"/>
      <c r="L12" s="19"/>
      <c r="M12" s="19"/>
      <c r="N12" s="19"/>
      <c r="O12" s="19"/>
      <c r="P12" s="19"/>
      <c r="Q12" s="19"/>
    </row>
    <row r="13" spans="1:17" x14ac:dyDescent="0.3">
      <c r="A13" s="19"/>
      <c r="B13" s="313"/>
      <c r="C13" s="319"/>
      <c r="D13" s="212"/>
      <c r="E13" s="212"/>
      <c r="F13" s="212"/>
      <c r="G13" s="212"/>
      <c r="H13" s="212"/>
      <c r="I13" s="212"/>
      <c r="J13" s="320"/>
      <c r="K13" s="6"/>
      <c r="L13" s="19"/>
      <c r="M13" s="19"/>
      <c r="N13" s="19"/>
      <c r="O13" s="19"/>
      <c r="P13" s="19"/>
      <c r="Q13" s="19"/>
    </row>
    <row r="14" spans="1:17" x14ac:dyDescent="0.3">
      <c r="A14" s="19"/>
      <c r="B14" s="334" t="s">
        <v>599</v>
      </c>
      <c r="C14" s="220"/>
      <c r="D14" s="219">
        <f>'Balance Sheet'!D21</f>
        <v>20852</v>
      </c>
      <c r="E14" s="219">
        <f>'Balance Sheet'!E21</f>
        <v>90790</v>
      </c>
      <c r="F14" s="219">
        <f>'Balance Sheet'!F21</f>
        <v>281565</v>
      </c>
      <c r="G14" s="219">
        <f ca="1">G8+G10+G12</f>
        <v>452492.53549027984</v>
      </c>
      <c r="H14" s="219">
        <f t="shared" ref="H14:J14" ca="1" si="1">H8+H10+H12</f>
        <v>659894.82885062159</v>
      </c>
      <c r="I14" s="219">
        <f t="shared" ca="1" si="1"/>
        <v>1075983.6388897686</v>
      </c>
      <c r="J14" s="327">
        <f t="shared" ca="1" si="1"/>
        <v>1548277.7515393468</v>
      </c>
      <c r="L14" s="19"/>
      <c r="M14" s="19"/>
      <c r="N14" s="19"/>
      <c r="O14" s="19"/>
      <c r="P14" s="19"/>
      <c r="Q14" s="19"/>
    </row>
    <row r="15" spans="1:17" x14ac:dyDescent="0.3">
      <c r="A15" s="19"/>
      <c r="B15" s="318" t="s">
        <v>600</v>
      </c>
      <c r="C15" s="328"/>
      <c r="D15" s="325">
        <f>'Cash Flow Statement'!D31</f>
        <v>52</v>
      </c>
      <c r="E15" s="325">
        <f>'Cash Flow Statement'!E31</f>
        <v>112</v>
      </c>
      <c r="F15" s="325">
        <f>'Cash Flow Statement'!F31</f>
        <v>2462</v>
      </c>
      <c r="G15" s="325">
        <f ca="1">G14*G16</f>
        <v>2262.4626774513995</v>
      </c>
      <c r="H15" s="325">
        <f t="shared" ref="H15:J15" ca="1" si="2">H14*H16</f>
        <v>3299.4741442531081</v>
      </c>
      <c r="I15" s="325">
        <f t="shared" ca="1" si="2"/>
        <v>5379.9181944488437</v>
      </c>
      <c r="J15" s="329">
        <f t="shared" ca="1" si="2"/>
        <v>7741.3887576967336</v>
      </c>
      <c r="L15" s="19"/>
      <c r="M15" s="19"/>
      <c r="N15" s="19"/>
    </row>
    <row r="16" spans="1:17" x14ac:dyDescent="0.3">
      <c r="A16" s="19"/>
      <c r="B16" s="330" t="s">
        <v>601</v>
      </c>
      <c r="C16" s="86"/>
      <c r="D16" s="331">
        <f>D15/D14</f>
        <v>2.4937655860349127E-3</v>
      </c>
      <c r="E16" s="331">
        <f>E15/E14</f>
        <v>1.233616037008481E-3</v>
      </c>
      <c r="F16" s="331">
        <f>F15/F14</f>
        <v>8.7439845151208416E-3</v>
      </c>
      <c r="G16" s="331">
        <v>5.0000000000000001E-3</v>
      </c>
      <c r="H16" s="331">
        <v>5.0000000000000001E-3</v>
      </c>
      <c r="I16" s="331">
        <v>5.0000000000000001E-3</v>
      </c>
      <c r="J16" s="332">
        <v>5.0000000000000001E-3</v>
      </c>
      <c r="L16" s="19"/>
      <c r="M16" s="19"/>
      <c r="N16" s="19"/>
    </row>
    <row r="17" spans="1:14" x14ac:dyDescent="0.3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spans="1:14" x14ac:dyDescent="0.3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 x14ac:dyDescent="0.3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14" x14ac:dyDescent="0.3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</sheetData>
  <mergeCells count="2">
    <mergeCell ref="D2:F2"/>
    <mergeCell ref="G2:J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32748-D9C4-429F-88DC-2F751A1A9694}">
  <dimension ref="A2:L69"/>
  <sheetViews>
    <sheetView topLeftCell="A52" zoomScaleNormal="100" workbookViewId="0">
      <selection activeCell="B5" sqref="B4:J5"/>
    </sheetView>
  </sheetViews>
  <sheetFormatPr defaultRowHeight="14.4" x14ac:dyDescent="0.3"/>
  <cols>
    <col min="2" max="2" width="30.5546875" bestFit="1" customWidth="1"/>
    <col min="3" max="3" width="9.77734375" customWidth="1"/>
    <col min="4" max="10" width="11.77734375" customWidth="1"/>
    <col min="12" max="12" width="32.44140625" hidden="1" customWidth="1"/>
  </cols>
  <sheetData>
    <row r="2" spans="1:12" x14ac:dyDescent="0.3">
      <c r="B2" s="31" t="s">
        <v>292</v>
      </c>
      <c r="C2" s="43"/>
      <c r="D2" s="44"/>
      <c r="E2" s="93"/>
      <c r="F2" s="93"/>
      <c r="G2" s="93"/>
      <c r="H2" s="93"/>
      <c r="I2" s="93"/>
      <c r="J2" s="94"/>
      <c r="K2" s="10"/>
      <c r="L2" s="6"/>
    </row>
    <row r="3" spans="1:12" x14ac:dyDescent="0.3">
      <c r="B3" s="114"/>
      <c r="C3" s="36"/>
      <c r="D3" s="30"/>
      <c r="E3" s="10"/>
      <c r="F3" s="10"/>
      <c r="G3" s="10"/>
      <c r="H3" s="10"/>
      <c r="I3" s="10"/>
      <c r="J3" s="96"/>
      <c r="K3" s="10"/>
      <c r="L3" s="6"/>
    </row>
    <row r="4" spans="1:12" x14ac:dyDescent="0.3">
      <c r="A4" s="6"/>
      <c r="B4" s="46"/>
      <c r="C4" s="6"/>
      <c r="D4" s="355" t="s">
        <v>232</v>
      </c>
      <c r="E4" s="355"/>
      <c r="F4" s="355"/>
      <c r="G4" s="353" t="s">
        <v>233</v>
      </c>
      <c r="H4" s="353"/>
      <c r="I4" s="353"/>
      <c r="J4" s="354"/>
      <c r="K4" s="6"/>
      <c r="L4" s="6"/>
    </row>
    <row r="5" spans="1:12" ht="15" thickBot="1" x14ac:dyDescent="0.35">
      <c r="A5" s="6"/>
      <c r="B5" s="48" t="s">
        <v>293</v>
      </c>
      <c r="C5" s="27"/>
      <c r="D5" s="26" t="s">
        <v>234</v>
      </c>
      <c r="E5" s="26" t="s">
        <v>235</v>
      </c>
      <c r="F5" s="26" t="s">
        <v>236</v>
      </c>
      <c r="G5" s="26" t="s">
        <v>114</v>
      </c>
      <c r="H5" s="26" t="s">
        <v>115</v>
      </c>
      <c r="I5" s="26" t="s">
        <v>116</v>
      </c>
      <c r="J5" s="49" t="s">
        <v>117</v>
      </c>
      <c r="K5" s="6"/>
      <c r="L5" s="18" t="s">
        <v>32</v>
      </c>
    </row>
    <row r="6" spans="1:12" x14ac:dyDescent="0.3">
      <c r="B6" s="114"/>
      <c r="C6" s="36"/>
      <c r="D6" s="30"/>
      <c r="E6" s="10"/>
      <c r="F6" s="10"/>
      <c r="G6" s="10"/>
      <c r="H6" s="10"/>
      <c r="I6" s="10"/>
      <c r="J6" s="96"/>
      <c r="K6" s="10"/>
    </row>
    <row r="7" spans="1:12" x14ac:dyDescent="0.3">
      <c r="B7" s="46" t="s">
        <v>0</v>
      </c>
      <c r="C7" s="6"/>
      <c r="D7" s="98">
        <f>'Income Statement'!D7</f>
        <v>51138</v>
      </c>
      <c r="E7" s="98">
        <f>'Income Statement'!E7</f>
        <v>645792</v>
      </c>
      <c r="F7" s="98">
        <f>'Income Statement'!F7</f>
        <v>1137032</v>
      </c>
      <c r="G7" s="98">
        <f>'Income Statement'!G7</f>
        <v>2253048.5552499997</v>
      </c>
      <c r="H7" s="98">
        <f>'Income Statement'!H7</f>
        <v>3354795.73275</v>
      </c>
      <c r="I7" s="98">
        <f>'Income Statement'!I7</f>
        <v>5006685.2960874997</v>
      </c>
      <c r="J7" s="99">
        <f>'Income Statement'!J7</f>
        <v>6245939.7936478108</v>
      </c>
    </row>
    <row r="8" spans="1:12" x14ac:dyDescent="0.3">
      <c r="B8" s="46" t="s">
        <v>48</v>
      </c>
      <c r="C8" s="6"/>
      <c r="D8" s="158">
        <f>-'Cash Flow Statement'!D38</f>
        <v>1883</v>
      </c>
      <c r="E8" s="158">
        <f>-'Cash Flow Statement'!E38</f>
        <v>2910</v>
      </c>
      <c r="F8" s="158">
        <f>-'Cash Flow Statement'!F38</f>
        <v>9367</v>
      </c>
      <c r="G8" s="62">
        <f>G24</f>
        <v>14189.808830168564</v>
      </c>
      <c r="H8" s="62">
        <f>H24</f>
        <v>21128.665869655706</v>
      </c>
      <c r="I8" s="62">
        <f>I24</f>
        <v>31532.34627755922</v>
      </c>
      <c r="J8" s="63">
        <f>J24</f>
        <v>39337.231073020805</v>
      </c>
    </row>
    <row r="9" spans="1:12" x14ac:dyDescent="0.3">
      <c r="B9" s="46" t="s">
        <v>203</v>
      </c>
      <c r="C9" s="6"/>
      <c r="D9" s="34">
        <f>D8/D7</f>
        <v>3.6821932809261215E-2</v>
      </c>
      <c r="E9" s="34">
        <f t="shared" ref="E9" si="0">E8/E7</f>
        <v>4.5060948416827708E-3</v>
      </c>
      <c r="F9" s="34">
        <f>F8/F7</f>
        <v>8.2381146704754125E-3</v>
      </c>
      <c r="G9" s="34">
        <f>G8/G7</f>
        <v>6.2980483918572512E-3</v>
      </c>
      <c r="H9" s="34">
        <f>H8/H7</f>
        <v>6.2980483918572512E-3</v>
      </c>
      <c r="I9" s="34">
        <f>I8/I7</f>
        <v>6.2980483918572503E-3</v>
      </c>
      <c r="J9" s="106">
        <f>J8/J7</f>
        <v>6.2980483918572512E-3</v>
      </c>
    </row>
    <row r="10" spans="1:12" x14ac:dyDescent="0.3">
      <c r="B10" s="46"/>
      <c r="C10" s="6"/>
      <c r="D10" s="6"/>
      <c r="E10" s="6"/>
      <c r="F10" s="6"/>
      <c r="G10" s="6"/>
      <c r="H10" s="6"/>
      <c r="I10" s="6"/>
      <c r="J10" s="47"/>
    </row>
    <row r="11" spans="1:12" x14ac:dyDescent="0.3">
      <c r="B11" s="58" t="s">
        <v>207</v>
      </c>
      <c r="C11" s="6"/>
      <c r="D11" s="71"/>
      <c r="E11" s="6"/>
      <c r="F11" s="6"/>
      <c r="G11" s="6"/>
      <c r="H11" s="6"/>
      <c r="I11" s="6"/>
      <c r="J11" s="47"/>
    </row>
    <row r="12" spans="1:12" x14ac:dyDescent="0.3">
      <c r="B12" s="46" t="s">
        <v>204</v>
      </c>
      <c r="C12" s="6"/>
      <c r="D12" s="6">
        <v>504</v>
      </c>
      <c r="E12" s="6">
        <v>853</v>
      </c>
      <c r="F12" s="71">
        <f>E12+F20</f>
        <v>5691</v>
      </c>
      <c r="G12" s="71">
        <f>F12+G20</f>
        <v>11093.088445822395</v>
      </c>
      <c r="H12" s="71">
        <f t="shared" ref="H12:J12" si="1">G12+H20</f>
        <v>19136.813568280806</v>
      </c>
      <c r="I12" s="71">
        <f t="shared" si="1"/>
        <v>31141.24051542312</v>
      </c>
      <c r="J12" s="120">
        <f t="shared" si="1"/>
        <v>46117.002628469643</v>
      </c>
    </row>
    <row r="13" spans="1:12" x14ac:dyDescent="0.3">
      <c r="B13" s="46" t="s">
        <v>213</v>
      </c>
      <c r="C13" s="6"/>
      <c r="D13" s="6">
        <v>0</v>
      </c>
      <c r="E13" s="6">
        <v>370</v>
      </c>
      <c r="F13" s="71">
        <v>0</v>
      </c>
      <c r="G13" s="71">
        <f>F13+G21</f>
        <v>1182.4218828874459</v>
      </c>
      <c r="H13" s="71">
        <f t="shared" ref="H13:J13" si="2">G13+H21</f>
        <v>2943.051443123828</v>
      </c>
      <c r="I13" s="71">
        <f t="shared" si="2"/>
        <v>5570.608776954914</v>
      </c>
      <c r="J13" s="120">
        <f t="shared" si="2"/>
        <v>8848.5389724660308</v>
      </c>
      <c r="L13" t="s">
        <v>228</v>
      </c>
    </row>
    <row r="14" spans="1:12" x14ac:dyDescent="0.3">
      <c r="B14" s="46" t="s">
        <v>205</v>
      </c>
      <c r="C14" s="6"/>
      <c r="D14" s="71">
        <v>1730</v>
      </c>
      <c r="E14" s="71">
        <v>3472</v>
      </c>
      <c r="F14" s="71">
        <v>6474</v>
      </c>
      <c r="G14" s="71">
        <f>F14+G22</f>
        <v>14079.298501458723</v>
      </c>
      <c r="H14" s="71">
        <f t="shared" ref="H14:J14" si="3">G14+H22</f>
        <v>25403.609688419638</v>
      </c>
      <c r="I14" s="71">
        <f t="shared" si="3"/>
        <v>42303.971685005454</v>
      </c>
      <c r="J14" s="120">
        <f t="shared" si="3"/>
        <v>63387.510449468624</v>
      </c>
    </row>
    <row r="15" spans="1:12" x14ac:dyDescent="0.3">
      <c r="B15" s="46" t="s">
        <v>206</v>
      </c>
      <c r="C15" s="6"/>
      <c r="D15" s="6">
        <v>359</v>
      </c>
      <c r="E15" s="6">
        <v>359</v>
      </c>
      <c r="F15" s="71">
        <f>E15+F23</f>
        <v>359</v>
      </c>
      <c r="G15" s="71">
        <f>F15+G23</f>
        <v>359</v>
      </c>
      <c r="H15" s="71">
        <f t="shared" ref="H15:J15" si="4">G15+H23</f>
        <v>359</v>
      </c>
      <c r="I15" s="71">
        <f t="shared" si="4"/>
        <v>359</v>
      </c>
      <c r="J15" s="120">
        <f t="shared" si="4"/>
        <v>359</v>
      </c>
    </row>
    <row r="16" spans="1:12" x14ac:dyDescent="0.3">
      <c r="B16" s="46" t="s">
        <v>208</v>
      </c>
      <c r="C16" s="6"/>
      <c r="D16" s="6">
        <f>SUM(D12:D15)</f>
        <v>2593</v>
      </c>
      <c r="E16" s="6">
        <f>SUM(E12:E15)</f>
        <v>5054</v>
      </c>
      <c r="F16" s="71">
        <f>SUM(F12:F15)</f>
        <v>12524</v>
      </c>
      <c r="G16" s="71">
        <f>SUM(G12:G15)</f>
        <v>26713.808830168564</v>
      </c>
      <c r="H16" s="71">
        <f t="shared" ref="H16:J16" si="5">SUM(H12:H15)</f>
        <v>47842.47469982427</v>
      </c>
      <c r="I16" s="71">
        <f t="shared" si="5"/>
        <v>79374.820977383497</v>
      </c>
      <c r="J16" s="120">
        <f t="shared" si="5"/>
        <v>118712.05205040429</v>
      </c>
    </row>
    <row r="17" spans="2:12" x14ac:dyDescent="0.3">
      <c r="B17" s="46" t="s">
        <v>224</v>
      </c>
      <c r="C17" s="6"/>
      <c r="D17" s="6"/>
      <c r="E17" s="34">
        <f>(E16-D16)/D16</f>
        <v>0.94909371384496721</v>
      </c>
      <c r="F17" s="34">
        <f>(F16-E16)/E16</f>
        <v>1.478037198258805</v>
      </c>
      <c r="G17" s="34">
        <f t="shared" ref="G17:J17" si="6">(G16-F16)/F16</f>
        <v>1.1330093285027598</v>
      </c>
      <c r="H17" s="34">
        <f t="shared" si="6"/>
        <v>0.79092674518934869</v>
      </c>
      <c r="I17" s="34">
        <f t="shared" si="6"/>
        <v>0.65908685692788893</v>
      </c>
      <c r="J17" s="106">
        <f t="shared" si="6"/>
        <v>0.495588280875988</v>
      </c>
    </row>
    <row r="18" spans="2:12" x14ac:dyDescent="0.3">
      <c r="B18" s="46"/>
      <c r="C18" s="6"/>
      <c r="D18" s="6"/>
      <c r="E18" s="8"/>
      <c r="F18" s="8"/>
      <c r="G18" s="8"/>
      <c r="H18" s="8"/>
      <c r="I18" s="8"/>
      <c r="J18" s="83"/>
      <c r="K18" s="19"/>
      <c r="L18" s="19"/>
    </row>
    <row r="19" spans="2:12" x14ac:dyDescent="0.3">
      <c r="B19" s="58" t="s">
        <v>209</v>
      </c>
      <c r="C19" s="6"/>
      <c r="D19" s="6"/>
      <c r="E19" s="8"/>
      <c r="F19" s="8"/>
      <c r="G19" s="8"/>
      <c r="H19" s="8"/>
      <c r="I19" s="8"/>
      <c r="J19" s="83"/>
      <c r="K19" s="19"/>
      <c r="L19" s="19"/>
    </row>
    <row r="20" spans="2:12" x14ac:dyDescent="0.3">
      <c r="B20" s="46" t="s">
        <v>204</v>
      </c>
      <c r="C20" s="6"/>
      <c r="D20" s="6">
        <v>369</v>
      </c>
      <c r="E20" s="8">
        <v>349</v>
      </c>
      <c r="F20" s="149">
        <v>4838</v>
      </c>
      <c r="G20" s="66">
        <f>$G$7*G27</f>
        <v>5402.0884458223945</v>
      </c>
      <c r="H20" s="66">
        <f>$H$7*H27</f>
        <v>8043.7251224584106</v>
      </c>
      <c r="I20" s="66">
        <f>$I$7*I27</f>
        <v>12004.426947142314</v>
      </c>
      <c r="J20" s="84">
        <f>$J$7*J27</f>
        <v>14975.762113046521</v>
      </c>
      <c r="K20" s="19"/>
      <c r="L20" s="19"/>
    </row>
    <row r="21" spans="2:12" x14ac:dyDescent="0.3">
      <c r="B21" s="46" t="s">
        <v>213</v>
      </c>
      <c r="C21" s="6"/>
      <c r="D21" s="6">
        <v>0</v>
      </c>
      <c r="E21" s="8">
        <v>370</v>
      </c>
      <c r="F21" s="8">
        <v>542</v>
      </c>
      <c r="G21" s="66">
        <f t="shared" ref="G21:G22" si="7">$G$7*G28</f>
        <v>1182.4218828874459</v>
      </c>
      <c r="H21" s="66">
        <f>$H$7*H28</f>
        <v>1760.6295602363823</v>
      </c>
      <c r="I21" s="66">
        <f t="shared" ref="I21:I23" si="8">$I$7*I28</f>
        <v>2627.5573338310865</v>
      </c>
      <c r="J21" s="84">
        <f>$J$7*J28</f>
        <v>3277.9301955111159</v>
      </c>
      <c r="K21" s="19"/>
      <c r="L21" s="19"/>
    </row>
    <row r="22" spans="2:12" x14ac:dyDescent="0.3">
      <c r="B22" s="46" t="s">
        <v>205</v>
      </c>
      <c r="C22" s="6"/>
      <c r="D22" s="71">
        <v>1525</v>
      </c>
      <c r="E22" s="149">
        <v>1942</v>
      </c>
      <c r="F22" s="149">
        <v>4257</v>
      </c>
      <c r="G22" s="66">
        <f t="shared" si="7"/>
        <v>7605.298501458723</v>
      </c>
      <c r="H22" s="66">
        <f>$H$7*H29</f>
        <v>11324.311186960913</v>
      </c>
      <c r="I22" s="66">
        <f t="shared" si="8"/>
        <v>16900.36199658582</v>
      </c>
      <c r="J22" s="84">
        <f>$J$7*J29</f>
        <v>21083.538764463166</v>
      </c>
      <c r="K22" s="19"/>
      <c r="L22" s="19"/>
    </row>
    <row r="23" spans="2:12" x14ac:dyDescent="0.3">
      <c r="B23" s="46" t="s">
        <v>206</v>
      </c>
      <c r="C23" s="6"/>
      <c r="D23" s="6">
        <v>0</v>
      </c>
      <c r="E23" s="8">
        <v>0</v>
      </c>
      <c r="F23" s="8">
        <v>0</v>
      </c>
      <c r="G23" s="160">
        <f>$G$7*G30</f>
        <v>0</v>
      </c>
      <c r="H23" s="8">
        <f>$H$7*H30</f>
        <v>0</v>
      </c>
      <c r="I23" s="8">
        <f t="shared" si="8"/>
        <v>0</v>
      </c>
      <c r="J23" s="83">
        <f>$J$7*J30</f>
        <v>0</v>
      </c>
      <c r="K23" s="19"/>
      <c r="L23" s="19"/>
    </row>
    <row r="24" spans="2:12" x14ac:dyDescent="0.3">
      <c r="B24" s="46" t="s">
        <v>210</v>
      </c>
      <c r="C24" s="6"/>
      <c r="D24" s="6">
        <f t="shared" ref="D24:J24" si="9">SUM(D20:D23)</f>
        <v>1894</v>
      </c>
      <c r="E24" s="8">
        <f t="shared" si="9"/>
        <v>2661</v>
      </c>
      <c r="F24" s="8">
        <f t="shared" si="9"/>
        <v>9637</v>
      </c>
      <c r="G24" s="66">
        <f t="shared" si="9"/>
        <v>14189.808830168564</v>
      </c>
      <c r="H24" s="66">
        <f t="shared" si="9"/>
        <v>21128.665869655706</v>
      </c>
      <c r="I24" s="66">
        <f t="shared" si="9"/>
        <v>31532.34627755922</v>
      </c>
      <c r="J24" s="84">
        <f t="shared" si="9"/>
        <v>39337.231073020805</v>
      </c>
      <c r="K24" s="19"/>
      <c r="L24" s="19"/>
    </row>
    <row r="25" spans="2:12" x14ac:dyDescent="0.3">
      <c r="B25" s="46"/>
      <c r="C25" s="6"/>
      <c r="D25" s="6"/>
      <c r="E25" s="8"/>
      <c r="F25" s="8"/>
      <c r="G25" s="8"/>
      <c r="H25" s="8"/>
      <c r="I25" s="8"/>
      <c r="J25" s="83"/>
      <c r="K25" s="19"/>
      <c r="L25" s="19"/>
    </row>
    <row r="26" spans="2:12" x14ac:dyDescent="0.3">
      <c r="B26" s="58" t="s">
        <v>211</v>
      </c>
      <c r="C26" s="6"/>
      <c r="D26" s="6"/>
      <c r="E26" s="8"/>
      <c r="F26" s="8"/>
      <c r="G26" s="8"/>
      <c r="H26" s="8"/>
      <c r="I26" s="8"/>
      <c r="J26" s="83"/>
      <c r="K26" s="19"/>
      <c r="L26" s="19"/>
    </row>
    <row r="27" spans="2:12" x14ac:dyDescent="0.3">
      <c r="B27" s="46" t="s">
        <v>204</v>
      </c>
      <c r="C27" s="6"/>
      <c r="D27" s="34">
        <f>D20/D7</f>
        <v>7.215769095388948E-3</v>
      </c>
      <c r="E27" s="81">
        <f>E20/E7</f>
        <v>5.4042168376195431E-4</v>
      </c>
      <c r="F27" s="81">
        <f>F20/F7</f>
        <v>4.2549374160094E-3</v>
      </c>
      <c r="G27" s="32">
        <f>AVERAGE(E27:F27)</f>
        <v>2.3976795498856771E-3</v>
      </c>
      <c r="H27" s="32">
        <f t="shared" ref="H27:J30" si="10">G27</f>
        <v>2.3976795498856771E-3</v>
      </c>
      <c r="I27" s="32">
        <f t="shared" si="10"/>
        <v>2.3976795498856771E-3</v>
      </c>
      <c r="J27" s="33">
        <f t="shared" si="10"/>
        <v>2.3976795498856771E-3</v>
      </c>
      <c r="L27" s="19" t="s">
        <v>222</v>
      </c>
    </row>
    <row r="28" spans="2:12" x14ac:dyDescent="0.3">
      <c r="B28" s="46" t="s">
        <v>213</v>
      </c>
      <c r="C28" s="6"/>
      <c r="D28" s="34">
        <f>D21/D7</f>
        <v>0</v>
      </c>
      <c r="E28" s="81">
        <f>E21/E7</f>
        <v>5.7293989395966504E-4</v>
      </c>
      <c r="F28" s="81">
        <f>F21/F7</f>
        <v>4.7667963610522837E-4</v>
      </c>
      <c r="G28" s="32">
        <f>AVERAGE(E28:F28)</f>
        <v>5.2480976503244668E-4</v>
      </c>
      <c r="H28" s="32">
        <f t="shared" si="10"/>
        <v>5.2480976503244668E-4</v>
      </c>
      <c r="I28" s="32">
        <f t="shared" si="10"/>
        <v>5.2480976503244668E-4</v>
      </c>
      <c r="J28" s="33">
        <f t="shared" si="10"/>
        <v>5.2480976503244668E-4</v>
      </c>
      <c r="L28" s="19" t="s">
        <v>215</v>
      </c>
    </row>
    <row r="29" spans="2:12" x14ac:dyDescent="0.3">
      <c r="B29" s="46" t="s">
        <v>205</v>
      </c>
      <c r="C29" s="6"/>
      <c r="D29" s="34">
        <f>D22/D7</f>
        <v>2.9821267941648088E-2</v>
      </c>
      <c r="E29" s="81">
        <f>E22/E7</f>
        <v>3.0071602001882961E-3</v>
      </c>
      <c r="F29" s="81">
        <f>F22/F7</f>
        <v>3.7439579536899577E-3</v>
      </c>
      <c r="G29" s="32">
        <f>AVERAGE(E29:F29)</f>
        <v>3.3755590769391271E-3</v>
      </c>
      <c r="H29" s="32">
        <f t="shared" si="10"/>
        <v>3.3755590769391271E-3</v>
      </c>
      <c r="I29" s="32">
        <f t="shared" si="10"/>
        <v>3.3755590769391271E-3</v>
      </c>
      <c r="J29" s="33">
        <f t="shared" si="10"/>
        <v>3.3755590769391271E-3</v>
      </c>
      <c r="L29" s="19" t="s">
        <v>195</v>
      </c>
    </row>
    <row r="30" spans="2:12" x14ac:dyDescent="0.3">
      <c r="B30" s="46" t="s">
        <v>206</v>
      </c>
      <c r="C30" s="6"/>
      <c r="D30" s="34">
        <f>D23/D7</f>
        <v>0</v>
      </c>
      <c r="E30" s="81">
        <f>E23/E7</f>
        <v>0</v>
      </c>
      <c r="F30" s="81">
        <f>F23/F7</f>
        <v>0</v>
      </c>
      <c r="G30" s="32">
        <f>AVERAGE(E30:F30)</f>
        <v>0</v>
      </c>
      <c r="H30" s="32">
        <f t="shared" si="10"/>
        <v>0</v>
      </c>
      <c r="I30" s="32">
        <f t="shared" si="10"/>
        <v>0</v>
      </c>
      <c r="J30" s="33">
        <f t="shared" si="10"/>
        <v>0</v>
      </c>
      <c r="L30" s="19" t="s">
        <v>223</v>
      </c>
    </row>
    <row r="31" spans="2:12" x14ac:dyDescent="0.3">
      <c r="B31" s="46"/>
      <c r="C31" s="6"/>
      <c r="D31" s="6"/>
      <c r="E31" s="6"/>
      <c r="F31" s="6"/>
      <c r="G31" s="6"/>
      <c r="H31" s="6"/>
      <c r="I31" s="6"/>
      <c r="J31" s="47"/>
    </row>
    <row r="32" spans="2:12" x14ac:dyDescent="0.3">
      <c r="B32" s="58" t="s">
        <v>297</v>
      </c>
      <c r="C32" s="6"/>
      <c r="D32" s="6"/>
      <c r="E32" s="6"/>
      <c r="F32" s="6"/>
      <c r="G32" s="6"/>
      <c r="H32" s="6"/>
      <c r="I32" s="6"/>
      <c r="J32" s="47"/>
    </row>
    <row r="33" spans="2:12" x14ac:dyDescent="0.3">
      <c r="B33" s="46" t="s">
        <v>204</v>
      </c>
      <c r="C33" s="6"/>
      <c r="D33" s="6" t="s">
        <v>212</v>
      </c>
      <c r="E33" s="61">
        <v>0.5</v>
      </c>
      <c r="F33" s="6" t="s">
        <v>227</v>
      </c>
      <c r="G33" s="64">
        <f>1/E33</f>
        <v>2</v>
      </c>
      <c r="H33" s="6"/>
      <c r="I33" s="6"/>
      <c r="J33" s="47"/>
    </row>
    <row r="34" spans="2:12" x14ac:dyDescent="0.3">
      <c r="B34" s="46" t="s">
        <v>213</v>
      </c>
      <c r="C34" s="6"/>
      <c r="D34" s="6" t="s">
        <v>212</v>
      </c>
      <c r="E34" s="34">
        <v>0.31669999999999998</v>
      </c>
      <c r="F34" s="6" t="s">
        <v>227</v>
      </c>
      <c r="G34" s="64">
        <f>1/E34</f>
        <v>3.1575623618566468</v>
      </c>
      <c r="H34" s="6"/>
      <c r="I34" s="6"/>
      <c r="J34" s="47"/>
    </row>
    <row r="35" spans="2:12" x14ac:dyDescent="0.3">
      <c r="B35" s="46" t="s">
        <v>205</v>
      </c>
      <c r="C35" s="6"/>
      <c r="D35" s="6" t="s">
        <v>212</v>
      </c>
      <c r="E35" s="34">
        <v>0.31669999999999998</v>
      </c>
      <c r="F35" s="6" t="s">
        <v>227</v>
      </c>
      <c r="G35" s="64">
        <f>1/E35</f>
        <v>3.1575623618566468</v>
      </c>
      <c r="H35" s="6"/>
      <c r="I35" s="6"/>
      <c r="J35" s="47"/>
    </row>
    <row r="36" spans="2:12" x14ac:dyDescent="0.3">
      <c r="B36" s="46" t="s">
        <v>206</v>
      </c>
      <c r="C36" s="6"/>
      <c r="D36" s="6" t="s">
        <v>212</v>
      </c>
      <c r="E36" s="34">
        <v>9.5000000000000001E-2</v>
      </c>
      <c r="F36" s="6" t="s">
        <v>227</v>
      </c>
      <c r="G36" s="64">
        <f>1/E36</f>
        <v>10.526315789473685</v>
      </c>
      <c r="H36" s="6"/>
      <c r="I36" s="6"/>
      <c r="J36" s="47"/>
    </row>
    <row r="37" spans="2:12" x14ac:dyDescent="0.3">
      <c r="B37" s="46" t="s">
        <v>214</v>
      </c>
      <c r="C37" s="6"/>
      <c r="D37" s="6"/>
      <c r="E37" s="6"/>
      <c r="F37" s="6"/>
      <c r="G37" s="6"/>
      <c r="H37" s="6"/>
      <c r="I37" s="6"/>
      <c r="J37" s="47"/>
    </row>
    <row r="38" spans="2:12" x14ac:dyDescent="0.3">
      <c r="B38" s="46"/>
      <c r="C38" s="6"/>
      <c r="D38" s="6"/>
      <c r="E38" s="6"/>
      <c r="F38" s="6"/>
      <c r="G38" s="6"/>
      <c r="H38" s="6"/>
      <c r="I38" s="6"/>
      <c r="J38" s="47"/>
    </row>
    <row r="39" spans="2:12" x14ac:dyDescent="0.3">
      <c r="B39" s="58" t="s">
        <v>216</v>
      </c>
      <c r="C39" s="6"/>
      <c r="D39" s="6"/>
      <c r="E39" s="6"/>
      <c r="F39" s="6"/>
      <c r="G39" s="6"/>
      <c r="H39" s="6"/>
      <c r="I39" s="6"/>
      <c r="J39" s="47"/>
    </row>
    <row r="40" spans="2:12" x14ac:dyDescent="0.3">
      <c r="B40" s="73" t="s">
        <v>204</v>
      </c>
      <c r="C40" s="6"/>
      <c r="D40" s="6"/>
      <c r="E40" s="6"/>
      <c r="F40" s="6"/>
      <c r="G40" s="6"/>
      <c r="H40" s="62"/>
      <c r="I40" s="6"/>
      <c r="J40" s="47"/>
    </row>
    <row r="41" spans="2:12" x14ac:dyDescent="0.3">
      <c r="B41" s="46" t="s">
        <v>217</v>
      </c>
      <c r="C41" s="6"/>
      <c r="D41" s="21"/>
      <c r="E41" s="21"/>
      <c r="F41" s="21"/>
      <c r="G41" s="62">
        <f>F12/G33</f>
        <v>2845.5</v>
      </c>
      <c r="H41" s="62">
        <f>G41</f>
        <v>2845.5</v>
      </c>
      <c r="I41" s="62">
        <v>0</v>
      </c>
      <c r="J41" s="63">
        <v>0</v>
      </c>
      <c r="L41" t="s">
        <v>229</v>
      </c>
    </row>
    <row r="42" spans="2:12" x14ac:dyDescent="0.3">
      <c r="B42" s="46" t="s">
        <v>218</v>
      </c>
      <c r="C42" s="6"/>
      <c r="D42" s="21"/>
      <c r="E42" s="21"/>
      <c r="F42" s="21"/>
      <c r="G42" s="22"/>
      <c r="H42" s="62">
        <f>G20/G33</f>
        <v>2701.0442229111973</v>
      </c>
      <c r="I42" s="62">
        <f t="shared" ref="I42:J43" si="11">H42</f>
        <v>2701.0442229111973</v>
      </c>
      <c r="J42" s="63">
        <v>0</v>
      </c>
    </row>
    <row r="43" spans="2:12" x14ac:dyDescent="0.3">
      <c r="B43" s="46" t="s">
        <v>219</v>
      </c>
      <c r="C43" s="6"/>
      <c r="D43" s="21"/>
      <c r="E43" s="21"/>
      <c r="F43" s="21"/>
      <c r="G43" s="22"/>
      <c r="H43" s="22"/>
      <c r="I43" s="62">
        <f>H20/G33</f>
        <v>4021.8625612292053</v>
      </c>
      <c r="J43" s="63">
        <f t="shared" si="11"/>
        <v>4021.8625612292053</v>
      </c>
    </row>
    <row r="44" spans="2:12" x14ac:dyDescent="0.3">
      <c r="B44" s="46" t="s">
        <v>220</v>
      </c>
      <c r="C44" s="6"/>
      <c r="D44" s="21"/>
      <c r="E44" s="21"/>
      <c r="F44" s="21"/>
      <c r="G44" s="22"/>
      <c r="H44" s="22"/>
      <c r="I44" s="22"/>
      <c r="J44" s="63">
        <f>I20/G33</f>
        <v>6002.213473571157</v>
      </c>
    </row>
    <row r="45" spans="2:12" x14ac:dyDescent="0.3">
      <c r="B45" s="46" t="s">
        <v>221</v>
      </c>
      <c r="C45" s="6"/>
      <c r="D45" s="21"/>
      <c r="E45" s="21"/>
      <c r="F45" s="21"/>
      <c r="G45" s="21"/>
      <c r="H45" s="21"/>
      <c r="I45" s="21"/>
      <c r="J45" s="150"/>
    </row>
    <row r="46" spans="2:12" x14ac:dyDescent="0.3">
      <c r="B46" s="46"/>
      <c r="C46" s="6"/>
      <c r="D46" s="6"/>
      <c r="E46" s="6"/>
      <c r="F46" s="6"/>
      <c r="G46" s="6"/>
      <c r="H46" s="6"/>
      <c r="I46" s="6"/>
      <c r="J46" s="47"/>
    </row>
    <row r="47" spans="2:12" x14ac:dyDescent="0.3">
      <c r="B47" s="73" t="s">
        <v>213</v>
      </c>
      <c r="C47" s="6"/>
      <c r="D47" s="6"/>
      <c r="E47" s="6"/>
      <c r="F47" s="6"/>
      <c r="G47" s="6"/>
      <c r="H47" s="6"/>
      <c r="I47" s="6"/>
      <c r="J47" s="47"/>
    </row>
    <row r="48" spans="2:12" x14ac:dyDescent="0.3">
      <c r="B48" s="46" t="s">
        <v>217</v>
      </c>
      <c r="C48" s="6"/>
      <c r="D48" s="21"/>
      <c r="E48" s="21"/>
      <c r="F48" s="21"/>
      <c r="G48" s="62">
        <f>(F21/G34)</f>
        <v>171.6514</v>
      </c>
      <c r="H48" s="62">
        <f t="shared" ref="H48:J49" si="12">G48</f>
        <v>171.6514</v>
      </c>
      <c r="I48" s="62">
        <f t="shared" si="12"/>
        <v>171.6514</v>
      </c>
      <c r="J48" s="47">
        <v>0</v>
      </c>
    </row>
    <row r="49" spans="2:12" x14ac:dyDescent="0.3">
      <c r="B49" s="46" t="s">
        <v>218</v>
      </c>
      <c r="C49" s="6"/>
      <c r="D49" s="21"/>
      <c r="E49" s="21"/>
      <c r="F49" s="21"/>
      <c r="G49" s="21"/>
      <c r="H49" s="62">
        <f>G21/G34</f>
        <v>374.47301031045413</v>
      </c>
      <c r="I49" s="62">
        <f t="shared" si="12"/>
        <v>374.47301031045413</v>
      </c>
      <c r="J49" s="63">
        <f t="shared" si="12"/>
        <v>374.47301031045413</v>
      </c>
    </row>
    <row r="50" spans="2:12" x14ac:dyDescent="0.3">
      <c r="B50" s="46" t="s">
        <v>219</v>
      </c>
      <c r="C50" s="6"/>
      <c r="D50" s="21"/>
      <c r="E50" s="21"/>
      <c r="F50" s="21"/>
      <c r="G50" s="21"/>
      <c r="H50" s="22"/>
      <c r="I50" s="62">
        <f>H21/G34</f>
        <v>557.59138172686221</v>
      </c>
      <c r="J50" s="63">
        <f>I50</f>
        <v>557.59138172686221</v>
      </c>
    </row>
    <row r="51" spans="2:12" x14ac:dyDescent="0.3">
      <c r="B51" s="46" t="s">
        <v>220</v>
      </c>
      <c r="C51" s="6"/>
      <c r="D51" s="21"/>
      <c r="E51" s="21"/>
      <c r="F51" s="21"/>
      <c r="G51" s="21"/>
      <c r="H51" s="22"/>
      <c r="I51" s="22"/>
      <c r="J51" s="63">
        <f>I13/G34</f>
        <v>1764.2117996616212</v>
      </c>
    </row>
    <row r="52" spans="2:12" x14ac:dyDescent="0.3">
      <c r="B52" s="46" t="s">
        <v>221</v>
      </c>
      <c r="C52" s="6"/>
      <c r="D52" s="21"/>
      <c r="E52" s="21"/>
      <c r="F52" s="21"/>
      <c r="G52" s="21"/>
      <c r="H52" s="21"/>
      <c r="I52" s="21"/>
      <c r="J52" s="150"/>
    </row>
    <row r="53" spans="2:12" x14ac:dyDescent="0.3">
      <c r="B53" s="46"/>
      <c r="C53" s="6"/>
      <c r="D53" s="6"/>
      <c r="E53" s="6"/>
      <c r="F53" s="6"/>
      <c r="G53" s="6"/>
      <c r="H53" s="6"/>
      <c r="I53" s="6"/>
      <c r="J53" s="47"/>
    </row>
    <row r="54" spans="2:12" x14ac:dyDescent="0.3">
      <c r="B54" s="73" t="s">
        <v>205</v>
      </c>
      <c r="C54" s="6"/>
      <c r="D54" s="6"/>
      <c r="E54" s="6"/>
      <c r="F54" s="6"/>
      <c r="G54" s="6"/>
      <c r="H54" s="6"/>
      <c r="I54" s="6"/>
      <c r="J54" s="47"/>
      <c r="L54" s="15"/>
    </row>
    <row r="55" spans="2:12" x14ac:dyDescent="0.3">
      <c r="B55" s="46" t="s">
        <v>217</v>
      </c>
      <c r="C55" s="6"/>
      <c r="D55" s="21"/>
      <c r="E55" s="21"/>
      <c r="F55" s="21"/>
      <c r="G55" s="62">
        <f>(F14/G35)</f>
        <v>2050.3157999999999</v>
      </c>
      <c r="H55" s="151">
        <f>G55</f>
        <v>2050.3157999999999</v>
      </c>
      <c r="I55" s="151">
        <f>H55</f>
        <v>2050.3157999999999</v>
      </c>
      <c r="J55" s="152">
        <v>0</v>
      </c>
    </row>
    <row r="56" spans="2:12" x14ac:dyDescent="0.3">
      <c r="B56" s="46" t="s">
        <v>218</v>
      </c>
      <c r="C56" s="6"/>
      <c r="D56" s="21"/>
      <c r="E56" s="21"/>
      <c r="F56" s="21"/>
      <c r="G56" s="23"/>
      <c r="H56" s="151">
        <f>G22/G35</f>
        <v>2408.5980354119774</v>
      </c>
      <c r="I56" s="151">
        <f>H56</f>
        <v>2408.5980354119774</v>
      </c>
      <c r="J56" s="152">
        <f>I56</f>
        <v>2408.5980354119774</v>
      </c>
    </row>
    <row r="57" spans="2:12" x14ac:dyDescent="0.3">
      <c r="B57" s="46" t="s">
        <v>219</v>
      </c>
      <c r="C57" s="6"/>
      <c r="D57" s="21"/>
      <c r="E57" s="21"/>
      <c r="F57" s="21"/>
      <c r="G57" s="23"/>
      <c r="H57" s="23"/>
      <c r="I57" s="151">
        <f>H22/G35</f>
        <v>3586.4093529105207</v>
      </c>
      <c r="J57" s="152">
        <f>I57</f>
        <v>3586.4093529105207</v>
      </c>
    </row>
    <row r="58" spans="2:12" x14ac:dyDescent="0.3">
      <c r="B58" s="46" t="s">
        <v>220</v>
      </c>
      <c r="C58" s="6"/>
      <c r="D58" s="21"/>
      <c r="E58" s="21"/>
      <c r="F58" s="21"/>
      <c r="G58" s="23"/>
      <c r="H58" s="23"/>
      <c r="I58" s="23"/>
      <c r="J58" s="152">
        <f>I22/G35</f>
        <v>5352.3446443187286</v>
      </c>
    </row>
    <row r="59" spans="2:12" x14ac:dyDescent="0.3">
      <c r="B59" s="46" t="s">
        <v>221</v>
      </c>
      <c r="C59" s="6"/>
      <c r="D59" s="21"/>
      <c r="E59" s="21"/>
      <c r="F59" s="21"/>
      <c r="G59" s="23"/>
      <c r="H59" s="23"/>
      <c r="I59" s="23"/>
      <c r="J59" s="153"/>
    </row>
    <row r="60" spans="2:12" x14ac:dyDescent="0.3">
      <c r="B60" s="46"/>
      <c r="C60" s="6"/>
      <c r="D60" s="148"/>
      <c r="E60" s="148"/>
      <c r="F60" s="148"/>
      <c r="G60" s="148"/>
      <c r="H60" s="148"/>
      <c r="I60" s="148"/>
      <c r="J60" s="154"/>
    </row>
    <row r="61" spans="2:12" x14ac:dyDescent="0.3">
      <c r="B61" s="73" t="s">
        <v>206</v>
      </c>
      <c r="C61" s="6"/>
      <c r="D61" s="6"/>
      <c r="E61" s="6"/>
      <c r="F61" s="6"/>
      <c r="G61" s="6"/>
      <c r="H61" s="6"/>
      <c r="I61" s="6"/>
      <c r="J61" s="47"/>
    </row>
    <row r="62" spans="2:12" x14ac:dyDescent="0.3">
      <c r="B62" s="46" t="s">
        <v>217</v>
      </c>
      <c r="C62" s="6"/>
      <c r="D62" s="21"/>
      <c r="E62" s="21"/>
      <c r="F62" s="21"/>
      <c r="G62" s="6">
        <v>34</v>
      </c>
      <c r="H62" s="6">
        <v>34</v>
      </c>
      <c r="I62" s="6">
        <v>34</v>
      </c>
      <c r="J62" s="47">
        <v>34</v>
      </c>
    </row>
    <row r="63" spans="2:12" x14ac:dyDescent="0.3">
      <c r="B63" s="46"/>
      <c r="C63" s="6"/>
      <c r="D63" s="6"/>
      <c r="E63" s="6"/>
      <c r="F63" s="6"/>
      <c r="G63" s="6"/>
      <c r="H63" s="6"/>
      <c r="I63" s="6"/>
      <c r="J63" s="47"/>
    </row>
    <row r="64" spans="2:12" x14ac:dyDescent="0.3">
      <c r="B64" s="58" t="s">
        <v>225</v>
      </c>
      <c r="C64" s="6"/>
      <c r="D64" s="156">
        <f>'Cash Flow Statement'!D14</f>
        <v>405</v>
      </c>
      <c r="E64" s="156">
        <f>'Cash Flow Statement'!E14</f>
        <v>1029</v>
      </c>
      <c r="F64" s="156">
        <f>'Cash Flow Statement'!F14</f>
        <v>3081</v>
      </c>
      <c r="G64" s="62">
        <f>SUM(G41:G62)</f>
        <v>5101.4672</v>
      </c>
      <c r="H64" s="62">
        <f>SUM(H41:H62)</f>
        <v>10585.582468633627</v>
      </c>
      <c r="I64" s="62">
        <f>SUM(I41:I62)</f>
        <v>15905.945764500217</v>
      </c>
      <c r="J64" s="63">
        <f>SUM(J41:J62)</f>
        <v>24101.704259140526</v>
      </c>
    </row>
    <row r="65" spans="2:10" x14ac:dyDescent="0.3">
      <c r="B65" s="46"/>
      <c r="C65" s="6"/>
      <c r="D65" s="156"/>
      <c r="E65" s="156"/>
      <c r="F65" s="156"/>
      <c r="G65" s="6"/>
      <c r="H65" s="6"/>
      <c r="I65" s="6"/>
      <c r="J65" s="47"/>
    </row>
    <row r="66" spans="2:10" x14ac:dyDescent="0.3">
      <c r="B66" s="155" t="s">
        <v>226</v>
      </c>
      <c r="C66" s="54"/>
      <c r="D66" s="157">
        <f>'Balance Sheet'!D8</f>
        <v>2042</v>
      </c>
      <c r="E66" s="157">
        <f>'Balance Sheet'!E8</f>
        <v>3600</v>
      </c>
      <c r="F66" s="157">
        <f>'Balance Sheet'!F8</f>
        <v>8930</v>
      </c>
      <c r="G66" s="55">
        <f>F66+G24-G64</f>
        <v>18018.341630168565</v>
      </c>
      <c r="H66" s="55">
        <f>G66+H24-H64</f>
        <v>28561.425031190643</v>
      </c>
      <c r="I66" s="55">
        <f>H66+I24-I64</f>
        <v>44187.825544249645</v>
      </c>
      <c r="J66" s="121">
        <f>I66+J24-J64</f>
        <v>59423.352358129931</v>
      </c>
    </row>
    <row r="67" spans="2:10" x14ac:dyDescent="0.3">
      <c r="F67" s="1"/>
    </row>
    <row r="68" spans="2:10" x14ac:dyDescent="0.3">
      <c r="B68" t="s">
        <v>294</v>
      </c>
    </row>
    <row r="69" spans="2:10" x14ac:dyDescent="0.3">
      <c r="B69" t="s">
        <v>295</v>
      </c>
    </row>
  </sheetData>
  <mergeCells count="2">
    <mergeCell ref="D4:F4"/>
    <mergeCell ref="G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89F70-8E3B-47F7-911F-D97DB1F878FE}">
  <dimension ref="B2:C29"/>
  <sheetViews>
    <sheetView zoomScale="115" zoomScaleNormal="115" workbookViewId="0">
      <selection activeCell="B33" sqref="B33"/>
    </sheetView>
  </sheetViews>
  <sheetFormatPr defaultRowHeight="14.4" x14ac:dyDescent="0.3"/>
  <cols>
    <col min="2" max="2" width="149.33203125" bestFit="1" customWidth="1"/>
  </cols>
  <sheetData>
    <row r="2" spans="2:2" x14ac:dyDescent="0.3">
      <c r="B2" s="129" t="s">
        <v>258</v>
      </c>
    </row>
    <row r="3" spans="2:2" x14ac:dyDescent="0.3">
      <c r="B3" s="130"/>
    </row>
    <row r="4" spans="2:2" x14ac:dyDescent="0.3">
      <c r="B4" s="130" t="s">
        <v>257</v>
      </c>
    </row>
    <row r="5" spans="2:2" x14ac:dyDescent="0.3">
      <c r="B5" s="130"/>
    </row>
    <row r="6" spans="2:2" ht="15" thickBot="1" x14ac:dyDescent="0.35">
      <c r="B6" s="131" t="s">
        <v>259</v>
      </c>
    </row>
    <row r="7" spans="2:2" x14ac:dyDescent="0.3">
      <c r="B7" s="130" t="s">
        <v>163</v>
      </c>
    </row>
    <row r="8" spans="2:2" x14ac:dyDescent="0.3">
      <c r="B8" s="130" t="s">
        <v>164</v>
      </c>
    </row>
    <row r="9" spans="2:2" x14ac:dyDescent="0.3">
      <c r="B9" s="130" t="s">
        <v>168</v>
      </c>
    </row>
    <row r="10" spans="2:2" x14ac:dyDescent="0.3">
      <c r="B10" s="130" t="s">
        <v>169</v>
      </c>
    </row>
    <row r="11" spans="2:2" x14ac:dyDescent="0.3">
      <c r="B11" s="130" t="s">
        <v>165</v>
      </c>
    </row>
    <row r="12" spans="2:2" x14ac:dyDescent="0.3">
      <c r="B12" s="130" t="s">
        <v>166</v>
      </c>
    </row>
    <row r="13" spans="2:2" x14ac:dyDescent="0.3">
      <c r="B13" s="130" t="s">
        <v>170</v>
      </c>
    </row>
    <row r="14" spans="2:2" x14ac:dyDescent="0.3">
      <c r="B14" s="130" t="s">
        <v>171</v>
      </c>
    </row>
    <row r="15" spans="2:2" x14ac:dyDescent="0.3">
      <c r="B15" s="132" t="s">
        <v>174</v>
      </c>
    </row>
    <row r="17" spans="2:3" x14ac:dyDescent="0.3">
      <c r="B17" t="s">
        <v>266</v>
      </c>
    </row>
    <row r="18" spans="2:3" hidden="1" x14ac:dyDescent="0.3"/>
    <row r="19" spans="2:3" hidden="1" x14ac:dyDescent="0.3">
      <c r="B19" t="s">
        <v>46</v>
      </c>
      <c r="C19" s="4" t="s">
        <v>32</v>
      </c>
    </row>
    <row r="20" spans="2:3" hidden="1" x14ac:dyDescent="0.3">
      <c r="B20" t="s">
        <v>7</v>
      </c>
      <c r="C20" t="s">
        <v>162</v>
      </c>
    </row>
    <row r="21" spans="2:3" hidden="1" x14ac:dyDescent="0.3">
      <c r="B21" t="s">
        <v>154</v>
      </c>
      <c r="C21" t="s">
        <v>161</v>
      </c>
    </row>
    <row r="22" spans="2:3" hidden="1" x14ac:dyDescent="0.3">
      <c r="B22" t="s">
        <v>156</v>
      </c>
    </row>
    <row r="23" spans="2:3" hidden="1" x14ac:dyDescent="0.3">
      <c r="B23" t="s">
        <v>155</v>
      </c>
      <c r="C23" t="s">
        <v>173</v>
      </c>
    </row>
    <row r="24" spans="2:3" hidden="1" x14ac:dyDescent="0.3">
      <c r="B24" t="s">
        <v>157</v>
      </c>
    </row>
    <row r="25" spans="2:3" hidden="1" x14ac:dyDescent="0.3">
      <c r="B25" t="s">
        <v>158</v>
      </c>
    </row>
    <row r="26" spans="2:3" hidden="1" x14ac:dyDescent="0.3">
      <c r="B26" t="s">
        <v>159</v>
      </c>
    </row>
    <row r="27" spans="2:3" hidden="1" x14ac:dyDescent="0.3">
      <c r="B27" t="s">
        <v>160</v>
      </c>
    </row>
    <row r="28" spans="2:3" hidden="1" x14ac:dyDescent="0.3">
      <c r="B28" t="s">
        <v>167</v>
      </c>
    </row>
    <row r="29" spans="2:3" hidden="1" x14ac:dyDescent="0.3">
      <c r="B29" t="s">
        <v>152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382A0-2BFB-4446-9305-EF776BEF1A54}">
  <dimension ref="A2:K26"/>
  <sheetViews>
    <sheetView zoomScaleNormal="100" workbookViewId="0">
      <selection activeCell="K5" sqref="K5"/>
    </sheetView>
  </sheetViews>
  <sheetFormatPr defaultRowHeight="14.4" x14ac:dyDescent="0.3"/>
  <cols>
    <col min="2" max="2" width="37" bestFit="1" customWidth="1"/>
    <col min="3" max="3" width="9.77734375" customWidth="1"/>
    <col min="4" max="8" width="11.77734375" customWidth="1"/>
    <col min="9" max="9" width="9.33203125" bestFit="1" customWidth="1"/>
    <col min="10" max="10" width="8.88671875" hidden="1" customWidth="1"/>
  </cols>
  <sheetData>
    <row r="2" spans="1:11" x14ac:dyDescent="0.3">
      <c r="A2" s="6"/>
      <c r="B2" s="31" t="s">
        <v>260</v>
      </c>
      <c r="C2" s="43"/>
      <c r="D2" s="43"/>
      <c r="E2" s="43"/>
      <c r="F2" s="43"/>
      <c r="G2" s="43"/>
      <c r="H2" s="89"/>
      <c r="I2" s="6"/>
    </row>
    <row r="3" spans="1:11" x14ac:dyDescent="0.3">
      <c r="A3" s="6"/>
      <c r="B3" s="114"/>
      <c r="C3" s="36"/>
      <c r="D3" s="36"/>
      <c r="E3" s="36"/>
      <c r="F3" s="36"/>
      <c r="G3" s="36"/>
      <c r="H3" s="115"/>
      <c r="I3" s="6"/>
    </row>
    <row r="4" spans="1:11" x14ac:dyDescent="0.3">
      <c r="B4" s="46" t="s">
        <v>195</v>
      </c>
      <c r="C4" s="6"/>
      <c r="D4" s="6"/>
      <c r="E4" s="6"/>
      <c r="F4" s="6"/>
      <c r="G4" s="6"/>
      <c r="H4" s="47"/>
      <c r="K4" t="s">
        <v>602</v>
      </c>
    </row>
    <row r="5" spans="1:11" x14ac:dyDescent="0.3">
      <c r="B5" s="46"/>
      <c r="C5" s="6"/>
      <c r="D5" s="24" t="s">
        <v>232</v>
      </c>
      <c r="E5" s="353" t="s">
        <v>233</v>
      </c>
      <c r="F5" s="353"/>
      <c r="G5" s="353"/>
      <c r="H5" s="354"/>
    </row>
    <row r="6" spans="1:11" ht="15" thickBot="1" x14ac:dyDescent="0.35">
      <c r="B6" s="48" t="s">
        <v>293</v>
      </c>
      <c r="C6" s="25"/>
      <c r="D6" s="26" t="s">
        <v>236</v>
      </c>
      <c r="E6" s="26" t="s">
        <v>114</v>
      </c>
      <c r="F6" s="26" t="s">
        <v>115</v>
      </c>
      <c r="G6" s="26" t="s">
        <v>116</v>
      </c>
      <c r="H6" s="49" t="s">
        <v>117</v>
      </c>
      <c r="J6" s="159" t="s">
        <v>32</v>
      </c>
    </row>
    <row r="7" spans="1:11" x14ac:dyDescent="0.3">
      <c r="B7" s="46" t="s">
        <v>261</v>
      </c>
      <c r="C7" s="6"/>
      <c r="D7" s="51">
        <f>G26</f>
        <v>754952</v>
      </c>
      <c r="E7" s="116">
        <f>D7*(1+E8)</f>
        <v>830447.20000000007</v>
      </c>
      <c r="F7" s="116">
        <f>E7*(1+F8)</f>
        <v>913491.92000000016</v>
      </c>
      <c r="G7" s="116">
        <f>F7*(1+G8)</f>
        <v>1004841.1120000002</v>
      </c>
      <c r="H7" s="117">
        <f>G7*(1+H8)</f>
        <v>1105325.2232000004</v>
      </c>
    </row>
    <row r="8" spans="1:11" x14ac:dyDescent="0.3">
      <c r="B8" s="46" t="s">
        <v>199</v>
      </c>
      <c r="C8" s="6"/>
      <c r="D8" s="51"/>
      <c r="E8" s="32">
        <v>0.1</v>
      </c>
      <c r="F8" s="32">
        <v>0.1</v>
      </c>
      <c r="G8" s="32">
        <v>0.1</v>
      </c>
      <c r="H8" s="33">
        <v>0.1</v>
      </c>
      <c r="J8" t="s">
        <v>200</v>
      </c>
    </row>
    <row r="9" spans="1:11" x14ac:dyDescent="0.3">
      <c r="B9" s="46" t="s">
        <v>262</v>
      </c>
      <c r="C9" s="6"/>
      <c r="D9" s="51"/>
      <c r="E9" s="116">
        <f>E7-D7</f>
        <v>75495.20000000007</v>
      </c>
      <c r="F9" s="116">
        <f>F7-E7</f>
        <v>83044.720000000088</v>
      </c>
      <c r="G9" s="116">
        <f>G7-F7</f>
        <v>91349.192000000039</v>
      </c>
      <c r="H9" s="117">
        <f>H7-G7</f>
        <v>100484.11120000016</v>
      </c>
    </row>
    <row r="10" spans="1:11" x14ac:dyDescent="0.3">
      <c r="B10" s="46" t="s">
        <v>263</v>
      </c>
      <c r="C10" s="6"/>
      <c r="D10" s="51">
        <f>H26</f>
        <v>396439</v>
      </c>
      <c r="E10" s="116">
        <f>D10*(1+E11)</f>
        <v>436082.9</v>
      </c>
      <c r="F10" s="116">
        <f>E10*(1+F11)</f>
        <v>479691.19000000006</v>
      </c>
      <c r="G10" s="116">
        <f>F10*(1+G11)</f>
        <v>527660.30900000012</v>
      </c>
      <c r="H10" s="117">
        <f>G10*(1+H11)</f>
        <v>580426.33990000014</v>
      </c>
      <c r="J10" t="s">
        <v>201</v>
      </c>
    </row>
    <row r="11" spans="1:11" x14ac:dyDescent="0.3">
      <c r="B11" s="46" t="s">
        <v>199</v>
      </c>
      <c r="C11" s="6"/>
      <c r="D11" s="51"/>
      <c r="E11" s="32">
        <v>0.1</v>
      </c>
      <c r="F11" s="32">
        <v>0.1</v>
      </c>
      <c r="G11" s="32">
        <v>0.1</v>
      </c>
      <c r="H11" s="33">
        <v>0.1</v>
      </c>
    </row>
    <row r="12" spans="1:11" x14ac:dyDescent="0.3">
      <c r="B12" s="46" t="s">
        <v>264</v>
      </c>
      <c r="C12" s="6"/>
      <c r="D12" s="51"/>
      <c r="E12" s="116">
        <f>E10-D10</f>
        <v>39643.900000000023</v>
      </c>
      <c r="F12" s="116">
        <f>F10-E10</f>
        <v>43608.290000000037</v>
      </c>
      <c r="G12" s="116">
        <f>G10-F10</f>
        <v>47969.119000000064</v>
      </c>
      <c r="H12" s="117">
        <f>H10-G10</f>
        <v>52766.030900000012</v>
      </c>
    </row>
    <row r="13" spans="1:11" x14ac:dyDescent="0.3">
      <c r="B13" s="46" t="s">
        <v>265</v>
      </c>
      <c r="C13" s="6"/>
      <c r="D13" s="116"/>
      <c r="E13" s="116">
        <f>E9+E12</f>
        <v>115139.10000000009</v>
      </c>
      <c r="F13" s="116">
        <f>F9+F12</f>
        <v>126653.01000000013</v>
      </c>
      <c r="G13" s="116">
        <f>G9+G12</f>
        <v>139318.3110000001</v>
      </c>
      <c r="H13" s="117">
        <f>H9+H12</f>
        <v>153250.14210000017</v>
      </c>
    </row>
    <row r="14" spans="1:11" x14ac:dyDescent="0.3">
      <c r="B14" s="46"/>
      <c r="C14" s="6"/>
      <c r="D14" s="6"/>
      <c r="E14" s="6"/>
      <c r="F14" s="6"/>
      <c r="G14" s="6"/>
      <c r="H14" s="47"/>
    </row>
    <row r="15" spans="1:11" x14ac:dyDescent="0.3">
      <c r="B15" s="46"/>
      <c r="C15" s="6"/>
      <c r="D15" s="97" t="s">
        <v>180</v>
      </c>
      <c r="E15" s="97" t="s">
        <v>181</v>
      </c>
      <c r="F15" s="97" t="s">
        <v>182</v>
      </c>
      <c r="G15" s="97" t="s">
        <v>183</v>
      </c>
      <c r="H15" s="118" t="s">
        <v>184</v>
      </c>
      <c r="J15" s="37" t="s">
        <v>32</v>
      </c>
    </row>
    <row r="16" spans="1:11" x14ac:dyDescent="0.3">
      <c r="B16" s="46" t="s">
        <v>178</v>
      </c>
      <c r="C16" s="6"/>
      <c r="D16" s="71">
        <v>35758</v>
      </c>
      <c r="E16" s="71">
        <v>44545</v>
      </c>
      <c r="F16" s="71">
        <v>64377</v>
      </c>
      <c r="G16" s="67" t="s">
        <v>128</v>
      </c>
      <c r="H16" s="119" t="s">
        <v>128</v>
      </c>
    </row>
    <row r="17" spans="2:10" x14ac:dyDescent="0.3">
      <c r="B17" s="46" t="s">
        <v>153</v>
      </c>
      <c r="C17" s="6"/>
      <c r="D17" s="71">
        <v>42229</v>
      </c>
      <c r="E17" s="71">
        <v>47660</v>
      </c>
      <c r="F17" s="71">
        <v>51490</v>
      </c>
      <c r="G17" s="67" t="s">
        <v>128</v>
      </c>
      <c r="H17" s="119" t="s">
        <v>128</v>
      </c>
    </row>
    <row r="18" spans="2:10" x14ac:dyDescent="0.3">
      <c r="B18" s="46" t="s">
        <v>11</v>
      </c>
      <c r="C18" s="6"/>
      <c r="D18" s="71">
        <f>SUM(D16:D17)</f>
        <v>77987</v>
      </c>
      <c r="E18" s="71">
        <f>SUM(E16:E17)</f>
        <v>92205</v>
      </c>
      <c r="F18" s="71">
        <f>SUM(F16:F17)</f>
        <v>115867</v>
      </c>
      <c r="G18" s="97">
        <v>0</v>
      </c>
      <c r="H18" s="120">
        <v>312213</v>
      </c>
      <c r="J18" t="s">
        <v>196</v>
      </c>
    </row>
    <row r="19" spans="2:10" x14ac:dyDescent="0.3">
      <c r="B19" s="46"/>
      <c r="C19" s="6"/>
      <c r="D19" s="71"/>
      <c r="E19" s="71"/>
      <c r="F19" s="71"/>
      <c r="G19" s="6"/>
      <c r="H19" s="47"/>
    </row>
    <row r="20" spans="2:10" x14ac:dyDescent="0.3">
      <c r="B20" s="46" t="s">
        <v>185</v>
      </c>
      <c r="C20" s="6"/>
      <c r="D20" s="71">
        <v>-33405</v>
      </c>
      <c r="E20" s="71">
        <v>-41159</v>
      </c>
      <c r="F20" s="71">
        <v>-79480</v>
      </c>
      <c r="G20" s="6"/>
      <c r="H20" s="47"/>
      <c r="J20" t="s">
        <v>193</v>
      </c>
    </row>
    <row r="21" spans="2:10" x14ac:dyDescent="0.3">
      <c r="B21" s="46" t="s">
        <v>186</v>
      </c>
      <c r="C21" s="6"/>
      <c r="D21" s="6"/>
      <c r="E21" s="6"/>
      <c r="F21" s="6"/>
      <c r="G21" s="71">
        <v>705584</v>
      </c>
      <c r="H21" s="120">
        <v>6421</v>
      </c>
      <c r="J21" t="s">
        <v>190</v>
      </c>
    </row>
    <row r="22" spans="2:10" x14ac:dyDescent="0.3">
      <c r="B22" s="46" t="s">
        <v>187</v>
      </c>
      <c r="C22" s="6"/>
      <c r="D22" s="71">
        <v>-44582</v>
      </c>
      <c r="E22" s="71">
        <v>-51046</v>
      </c>
      <c r="F22" s="71">
        <v>-36387</v>
      </c>
      <c r="G22" s="6"/>
      <c r="H22" s="120">
        <v>132015</v>
      </c>
      <c r="I22" s="1"/>
      <c r="J22" t="s">
        <v>194</v>
      </c>
    </row>
    <row r="23" spans="2:10" x14ac:dyDescent="0.3">
      <c r="B23" s="46" t="s">
        <v>188</v>
      </c>
      <c r="C23" s="6"/>
      <c r="D23" s="6"/>
      <c r="E23" s="6"/>
      <c r="F23" s="6"/>
      <c r="G23" s="6"/>
      <c r="H23" s="120">
        <v>-64144</v>
      </c>
      <c r="J23" t="s">
        <v>191</v>
      </c>
    </row>
    <row r="24" spans="2:10" x14ac:dyDescent="0.3">
      <c r="B24" s="46" t="s">
        <v>189</v>
      </c>
      <c r="C24" s="6"/>
      <c r="D24" s="97" t="s">
        <v>127</v>
      </c>
      <c r="E24" s="97" t="s">
        <v>127</v>
      </c>
      <c r="F24" s="97" t="s">
        <v>127</v>
      </c>
      <c r="G24" s="71">
        <v>49368</v>
      </c>
      <c r="H24" s="120">
        <v>9934</v>
      </c>
      <c r="J24" t="s">
        <v>192</v>
      </c>
    </row>
    <row r="25" spans="2:10" x14ac:dyDescent="0.3">
      <c r="B25" s="46"/>
      <c r="C25" s="6"/>
      <c r="D25" s="6"/>
      <c r="E25" s="6"/>
      <c r="F25" s="6"/>
      <c r="G25" s="6"/>
      <c r="H25" s="47"/>
    </row>
    <row r="26" spans="2:10" x14ac:dyDescent="0.3">
      <c r="B26" s="53" t="s">
        <v>179</v>
      </c>
      <c r="C26" s="54"/>
      <c r="D26" s="54" t="s">
        <v>197</v>
      </c>
      <c r="E26" s="54" t="s">
        <v>197</v>
      </c>
      <c r="F26" s="54" t="s">
        <v>197</v>
      </c>
      <c r="G26" s="55">
        <f>G18+SUM(G20:G24)</f>
        <v>754952</v>
      </c>
      <c r="H26" s="121">
        <f>H18+SUM(H20:H24)</f>
        <v>396439</v>
      </c>
      <c r="I26" s="1"/>
    </row>
  </sheetData>
  <mergeCells count="1">
    <mergeCell ref="E5:H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5FC9E-BB70-4CA8-B031-E0548AE488CF}">
  <dimension ref="B2:J26"/>
  <sheetViews>
    <sheetView workbookViewId="0">
      <selection activeCell="N14" sqref="N14"/>
    </sheetView>
  </sheetViews>
  <sheetFormatPr defaultRowHeight="14.4" x14ac:dyDescent="0.3"/>
  <cols>
    <col min="2" max="2" width="23.109375" bestFit="1" customWidth="1"/>
    <col min="3" max="3" width="9.77734375" customWidth="1"/>
    <col min="4" max="10" width="11.77734375" customWidth="1"/>
  </cols>
  <sheetData>
    <row r="2" spans="2:10" x14ac:dyDescent="0.3">
      <c r="B2" s="31" t="s">
        <v>367</v>
      </c>
      <c r="C2" s="122"/>
      <c r="D2" s="122"/>
      <c r="E2" s="122"/>
      <c r="F2" s="122"/>
      <c r="G2" s="122"/>
      <c r="H2" s="122"/>
      <c r="I2" s="122"/>
      <c r="J2" s="123"/>
    </row>
    <row r="3" spans="2:10" x14ac:dyDescent="0.3">
      <c r="B3" s="46"/>
      <c r="C3" s="6"/>
      <c r="D3" s="6"/>
      <c r="E3" s="6"/>
      <c r="F3" s="6"/>
      <c r="G3" s="6"/>
      <c r="H3" s="6"/>
      <c r="I3" s="6"/>
      <c r="J3" s="47"/>
    </row>
    <row r="4" spans="2:10" x14ac:dyDescent="0.3">
      <c r="B4" s="46"/>
      <c r="C4" s="6"/>
      <c r="D4" s="355" t="s">
        <v>232</v>
      </c>
      <c r="E4" s="355"/>
      <c r="F4" s="355"/>
      <c r="G4" s="353" t="s">
        <v>233</v>
      </c>
      <c r="H4" s="353"/>
      <c r="I4" s="353"/>
      <c r="J4" s="354"/>
    </row>
    <row r="5" spans="2:10" ht="15" thickBot="1" x14ac:dyDescent="0.35">
      <c r="B5" s="48" t="s">
        <v>293</v>
      </c>
      <c r="C5" s="6"/>
      <c r="D5" s="26" t="s">
        <v>234</v>
      </c>
      <c r="E5" s="26" t="s">
        <v>235</v>
      </c>
      <c r="F5" s="26" t="s">
        <v>236</v>
      </c>
      <c r="G5" s="26" t="s">
        <v>114</v>
      </c>
      <c r="H5" s="26" t="s">
        <v>115</v>
      </c>
      <c r="I5" s="26" t="s">
        <v>116</v>
      </c>
      <c r="J5" s="49" t="s">
        <v>117</v>
      </c>
    </row>
    <row r="6" spans="2:10" x14ac:dyDescent="0.3">
      <c r="B6" s="59"/>
      <c r="C6" s="6"/>
      <c r="D6" s="28"/>
      <c r="E6" s="28"/>
      <c r="F6" s="28"/>
      <c r="G6" s="28"/>
      <c r="H6" s="28"/>
      <c r="I6" s="28"/>
      <c r="J6" s="60"/>
    </row>
    <row r="7" spans="2:10" x14ac:dyDescent="0.3">
      <c r="B7" s="46" t="s">
        <v>0</v>
      </c>
      <c r="C7" s="97" t="s">
        <v>231</v>
      </c>
      <c r="D7" s="98">
        <f>'Income Statement'!D7</f>
        <v>51138</v>
      </c>
      <c r="E7" s="98">
        <f>'Income Statement'!E7</f>
        <v>645792</v>
      </c>
      <c r="F7" s="98">
        <f>'Income Statement'!F7</f>
        <v>1137032</v>
      </c>
      <c r="G7" s="98">
        <f>'Income Statement'!G7</f>
        <v>2253048.5552499997</v>
      </c>
      <c r="H7" s="98">
        <f>'Income Statement'!H7</f>
        <v>3354795.73275</v>
      </c>
      <c r="I7" s="98">
        <f>'Income Statement'!I7</f>
        <v>5006685.2960874997</v>
      </c>
      <c r="J7" s="99">
        <f>'Income Statement'!J7</f>
        <v>6245939.7936478108</v>
      </c>
    </row>
    <row r="8" spans="2:10" x14ac:dyDescent="0.3">
      <c r="B8" s="46"/>
      <c r="C8" s="6"/>
      <c r="D8" s="51"/>
      <c r="E8" s="51"/>
      <c r="F8" s="51"/>
      <c r="G8" s="51"/>
      <c r="H8" s="51"/>
      <c r="I8" s="51"/>
      <c r="J8" s="52"/>
    </row>
    <row r="9" spans="2:10" x14ac:dyDescent="0.3">
      <c r="B9" s="46" t="s">
        <v>1</v>
      </c>
      <c r="C9" s="6"/>
      <c r="D9" s="98">
        <f>'Income Statement'!D10</f>
        <v>-11102</v>
      </c>
      <c r="E9" s="98">
        <f>'Income Statement'!E10</f>
        <v>-403766</v>
      </c>
      <c r="F9" s="98">
        <f>'Income Statement'!F10</f>
        <v>-708119</v>
      </c>
      <c r="G9" s="98">
        <f>'Income Statement'!G10</f>
        <v>-1405907.374172817</v>
      </c>
      <c r="H9" s="98">
        <f>'Income Statement'!H10</f>
        <v>-2093400.0949630551</v>
      </c>
      <c r="I9" s="98">
        <f>'Income Statement'!I10</f>
        <v>-3124182.9038837487</v>
      </c>
      <c r="J9" s="99">
        <f>'Income Statement'!J10</f>
        <v>-3897480.5021698838</v>
      </c>
    </row>
    <row r="10" spans="2:10" x14ac:dyDescent="0.3">
      <c r="B10" s="46" t="s">
        <v>2</v>
      </c>
      <c r="C10" s="6"/>
      <c r="D10" s="51">
        <f>'Income Statement'!D11</f>
        <v>40036</v>
      </c>
      <c r="E10" s="51">
        <f>'Income Statement'!E11</f>
        <v>242026</v>
      </c>
      <c r="F10" s="51">
        <f>'Income Statement'!F11</f>
        <v>428913</v>
      </c>
      <c r="G10" s="51">
        <f>'Income Statement'!G11</f>
        <v>847141.18107718276</v>
      </c>
      <c r="H10" s="51">
        <f>'Income Statement'!H11</f>
        <v>1261395.6377869449</v>
      </c>
      <c r="I10" s="51">
        <f>'Income Statement'!I11</f>
        <v>1882502.392203751</v>
      </c>
      <c r="J10" s="52">
        <f>'Income Statement'!J11</f>
        <v>2348459.291477927</v>
      </c>
    </row>
    <row r="11" spans="2:10" x14ac:dyDescent="0.3">
      <c r="B11" s="135" t="s">
        <v>363</v>
      </c>
      <c r="C11" s="39"/>
      <c r="D11" s="177">
        <f>D10/D7</f>
        <v>0.78290116938480192</v>
      </c>
      <c r="E11" s="177">
        <f t="shared" ref="E11:J11" si="0">E10/E7</f>
        <v>0.37477392101481594</v>
      </c>
      <c r="F11" s="177">
        <f t="shared" si="0"/>
        <v>0.37722157335941292</v>
      </c>
      <c r="G11" s="177">
        <f t="shared" si="0"/>
        <v>0.37599774718711443</v>
      </c>
      <c r="H11" s="177">
        <f t="shared" si="0"/>
        <v>0.37599774718711443</v>
      </c>
      <c r="I11" s="177">
        <f t="shared" si="0"/>
        <v>0.37599774718711448</v>
      </c>
      <c r="J11" s="178">
        <f t="shared" si="0"/>
        <v>0.37599774718711437</v>
      </c>
    </row>
    <row r="12" spans="2:10" x14ac:dyDescent="0.3">
      <c r="B12" s="46"/>
      <c r="C12" s="6"/>
      <c r="D12" s="51"/>
      <c r="E12" s="51"/>
      <c r="F12" s="51"/>
      <c r="G12" s="51"/>
      <c r="H12" s="51"/>
      <c r="I12" s="51"/>
      <c r="J12" s="52"/>
    </row>
    <row r="13" spans="2:10" x14ac:dyDescent="0.3">
      <c r="B13" s="80" t="s">
        <v>569</v>
      </c>
      <c r="C13" s="6"/>
      <c r="D13" s="98">
        <f>'Income Statement'!D21</f>
        <v>-89672</v>
      </c>
      <c r="E13" s="98">
        <f>'Income Statement'!E21</f>
        <v>98363</v>
      </c>
      <c r="F13" s="98">
        <f>'Income Statement'!F21</f>
        <v>-299078</v>
      </c>
      <c r="G13" s="98">
        <f>'Income Statement'!G21</f>
        <v>131086.09553658043</v>
      </c>
      <c r="H13" s="98">
        <f>'Income Statement'!H21</f>
        <v>239977.00929401268</v>
      </c>
      <c r="I13" s="98">
        <f>'Income Statement'!I21</f>
        <v>407839.03416537191</v>
      </c>
      <c r="J13" s="98">
        <f>'Income Statement'!J21</f>
        <v>529339.56215517223</v>
      </c>
    </row>
    <row r="14" spans="2:10" x14ac:dyDescent="0.3">
      <c r="B14" s="58" t="s">
        <v>568</v>
      </c>
      <c r="C14" s="39"/>
      <c r="D14" s="177">
        <f>D13/D7</f>
        <v>-1.7535296648285033</v>
      </c>
      <c r="E14" s="177">
        <f t="shared" ref="E14:J14" si="1">E13/E7</f>
        <v>0.1523137480798771</v>
      </c>
      <c r="F14" s="177">
        <f t="shared" si="1"/>
        <v>-0.26303393396140129</v>
      </c>
      <c r="G14" s="177">
        <f t="shared" si="1"/>
        <v>5.8181655797486811E-2</v>
      </c>
      <c r="H14" s="177">
        <f t="shared" si="1"/>
        <v>7.1532524901985084E-2</v>
      </c>
      <c r="I14" s="177">
        <f t="shared" si="1"/>
        <v>8.1458891471385242E-2</v>
      </c>
      <c r="J14" s="177">
        <f t="shared" si="1"/>
        <v>8.4749385944052222E-2</v>
      </c>
    </row>
    <row r="15" spans="2:10" x14ac:dyDescent="0.3">
      <c r="B15" s="46"/>
      <c r="C15" s="6"/>
      <c r="D15" s="51"/>
      <c r="E15" s="51"/>
      <c r="F15" s="51"/>
      <c r="G15" s="51"/>
      <c r="H15" s="51"/>
      <c r="I15" s="51"/>
      <c r="J15" s="52"/>
    </row>
    <row r="16" spans="2:10" x14ac:dyDescent="0.3">
      <c r="B16" s="46" t="s">
        <v>361</v>
      </c>
      <c r="C16" s="6"/>
      <c r="D16" s="98">
        <f>'Income Statement'!D24</f>
        <v>-87439</v>
      </c>
      <c r="E16" s="98">
        <f>'Income Statement'!E24</f>
        <v>98108</v>
      </c>
      <c r="F16" s="98">
        <f>'Income Statement'!F24</f>
        <v>-291582</v>
      </c>
      <c r="G16" s="98">
        <f>'Income Statement'!G24</f>
        <v>114700.33359450787</v>
      </c>
      <c r="H16" s="98">
        <f>'Income Statement'!H24</f>
        <v>209979.88313226111</v>
      </c>
      <c r="I16" s="98">
        <f>'Income Statement'!I24</f>
        <v>356859.15489470039</v>
      </c>
      <c r="J16" s="99">
        <f>'Income Statement'!J24</f>
        <v>397004.67161637917</v>
      </c>
    </row>
    <row r="17" spans="2:10" x14ac:dyDescent="0.3">
      <c r="B17" s="58" t="s">
        <v>364</v>
      </c>
      <c r="C17" s="39"/>
      <c r="D17" s="177">
        <f t="shared" ref="D17:J17" si="2">D16/D7</f>
        <v>-1.7098635065900114</v>
      </c>
      <c r="E17" s="177">
        <f t="shared" si="2"/>
        <v>0.15191888409890492</v>
      </c>
      <c r="F17" s="177">
        <f t="shared" si="2"/>
        <v>-0.25644133146648468</v>
      </c>
      <c r="G17" s="177">
        <f t="shared" si="2"/>
        <v>5.0908948822800955E-2</v>
      </c>
      <c r="H17" s="177">
        <f t="shared" si="2"/>
        <v>6.2590959289236955E-2</v>
      </c>
      <c r="I17" s="177">
        <f t="shared" si="2"/>
        <v>7.127653003746208E-2</v>
      </c>
      <c r="J17" s="178">
        <f t="shared" si="2"/>
        <v>6.3562039458039163E-2</v>
      </c>
    </row>
    <row r="18" spans="2:10" x14ac:dyDescent="0.3">
      <c r="B18" s="46"/>
      <c r="C18" s="6"/>
      <c r="D18" s="51"/>
      <c r="E18" s="51"/>
      <c r="F18" s="51"/>
      <c r="G18" s="51"/>
      <c r="H18" s="51"/>
      <c r="I18" s="51"/>
      <c r="J18" s="52"/>
    </row>
    <row r="19" spans="2:10" x14ac:dyDescent="0.3">
      <c r="B19" s="46" t="s">
        <v>225</v>
      </c>
      <c r="C19" s="6"/>
      <c r="D19" s="98">
        <f>'PPE Schedule'!D64</f>
        <v>405</v>
      </c>
      <c r="E19" s="98">
        <f>'PPE Schedule'!E64</f>
        <v>1029</v>
      </c>
      <c r="F19" s="98">
        <f>'PPE Schedule'!F64</f>
        <v>3081</v>
      </c>
      <c r="G19" s="98">
        <f>'PPE Schedule'!G64</f>
        <v>5101.4672</v>
      </c>
      <c r="H19" s="98">
        <f>'PPE Schedule'!H64</f>
        <v>10585.582468633627</v>
      </c>
      <c r="I19" s="98">
        <f>'PPE Schedule'!I64</f>
        <v>15905.945764500217</v>
      </c>
      <c r="J19" s="99">
        <f>'PPE Schedule'!J64</f>
        <v>24101.704259140526</v>
      </c>
    </row>
    <row r="20" spans="2:10" x14ac:dyDescent="0.3">
      <c r="B20" s="46" t="s">
        <v>365</v>
      </c>
      <c r="C20" s="6"/>
      <c r="D20" s="51">
        <f>'Income Statement'!D21+'Financial Analysis'!D19</f>
        <v>-89267</v>
      </c>
      <c r="E20" s="51">
        <f>'Income Statement'!E21+'Financial Analysis'!E19</f>
        <v>99392</v>
      </c>
      <c r="F20" s="51">
        <f>'Income Statement'!F21+'Financial Analysis'!F19</f>
        <v>-295997</v>
      </c>
      <c r="G20" s="51">
        <f>'Income Statement'!G21+'Financial Analysis'!G19</f>
        <v>136187.56273658044</v>
      </c>
      <c r="H20" s="51">
        <f>'Income Statement'!H21+'Financial Analysis'!H19</f>
        <v>250562.59176264631</v>
      </c>
      <c r="I20" s="51">
        <f>'Income Statement'!I21+'Financial Analysis'!I19</f>
        <v>423744.97992987215</v>
      </c>
      <c r="J20" s="52">
        <f>'Income Statement'!J21+'Financial Analysis'!J19</f>
        <v>553441.26641431276</v>
      </c>
    </row>
    <row r="21" spans="2:10" x14ac:dyDescent="0.3">
      <c r="B21" s="58" t="s">
        <v>366</v>
      </c>
      <c r="C21" s="39"/>
      <c r="D21" s="177">
        <f>D20/D7</f>
        <v>-1.7456099182603935</v>
      </c>
      <c r="E21" s="177">
        <f t="shared" ref="E21:J21" si="3">E20/E7</f>
        <v>0.15390714037956493</v>
      </c>
      <c r="F21" s="177">
        <f t="shared" si="3"/>
        <v>-0.26032424769047835</v>
      </c>
      <c r="G21" s="177">
        <f t="shared" si="3"/>
        <v>6.0445906689067769E-2</v>
      </c>
      <c r="H21" s="177">
        <f t="shared" si="3"/>
        <v>7.4687883174709604E-2</v>
      </c>
      <c r="I21" s="177">
        <f t="shared" si="3"/>
        <v>8.463583286551081E-2</v>
      </c>
      <c r="J21" s="178">
        <f t="shared" si="3"/>
        <v>8.8608165416062548E-2</v>
      </c>
    </row>
    <row r="22" spans="2:10" x14ac:dyDescent="0.3">
      <c r="B22" s="46"/>
      <c r="C22" s="6"/>
      <c r="D22" s="51"/>
      <c r="E22" s="51"/>
      <c r="F22" s="51"/>
      <c r="G22" s="51"/>
      <c r="H22" s="51"/>
      <c r="I22" s="51"/>
      <c r="J22" s="52"/>
    </row>
    <row r="23" spans="2:10" x14ac:dyDescent="0.3">
      <c r="B23" s="73" t="s">
        <v>31</v>
      </c>
      <c r="C23" s="6"/>
      <c r="D23" s="98">
        <f>'Balance Sheet'!D22</f>
        <v>66059</v>
      </c>
      <c r="E23" s="98">
        <f>'Balance Sheet'!E22</f>
        <v>356041</v>
      </c>
      <c r="F23" s="98">
        <f>'Balance Sheet'!F22</f>
        <v>869270</v>
      </c>
      <c r="G23" s="98">
        <f ca="1">'Balance Sheet'!G22</f>
        <v>1211422.179373631</v>
      </c>
      <c r="H23" s="98">
        <f ca="1">'Balance Sheet'!H22</f>
        <v>1635020.8325669095</v>
      </c>
      <c r="I23" s="98">
        <f ca="1">'Balance Sheet'!I22</f>
        <v>2249111.9086244493</v>
      </c>
      <c r="J23" s="99">
        <f ca="1">'Balance Sheet'!J22</f>
        <v>2845552.2228829144</v>
      </c>
    </row>
    <row r="24" spans="2:10" x14ac:dyDescent="0.3">
      <c r="B24" s="73" t="s">
        <v>37</v>
      </c>
      <c r="C24" s="6"/>
      <c r="D24" s="98">
        <f>'Balance Sheet'!D30</f>
        <v>37641</v>
      </c>
      <c r="E24" s="98">
        <f>'Balance Sheet'!E30</f>
        <v>210804</v>
      </c>
      <c r="F24" s="98">
        <f>'Balance Sheet'!F30</f>
        <v>172309</v>
      </c>
      <c r="G24" s="98">
        <f>'Balance Sheet'!G30</f>
        <v>328020.18748764409</v>
      </c>
      <c r="H24" s="98">
        <f>'Balance Sheet'!H30</f>
        <v>488422.99588936183</v>
      </c>
      <c r="I24" s="98">
        <f>'Balance Sheet'!I30</f>
        <v>728920.75303367013</v>
      </c>
      <c r="J24" s="99">
        <f>'Balance Sheet'!J30</f>
        <v>909343.18187454971</v>
      </c>
    </row>
    <row r="25" spans="2:10" x14ac:dyDescent="0.3">
      <c r="B25" s="155" t="s">
        <v>362</v>
      </c>
      <c r="C25" s="179"/>
      <c r="D25" s="180">
        <f>D23/D24</f>
        <v>1.7549746287293111</v>
      </c>
      <c r="E25" s="180">
        <f t="shared" ref="E25:J25" si="4">E23/E24</f>
        <v>1.6889670025236714</v>
      </c>
      <c r="F25" s="180">
        <f t="shared" si="4"/>
        <v>5.0448322490409669</v>
      </c>
      <c r="G25" s="180">
        <f t="shared" ca="1" si="4"/>
        <v>3.6931330009049002</v>
      </c>
      <c r="H25" s="180">
        <f t="shared" ca="1" si="4"/>
        <v>3.3475508858663083</v>
      </c>
      <c r="I25" s="180">
        <f t="shared" ca="1" si="4"/>
        <v>3.0855369383625697</v>
      </c>
      <c r="J25" s="181">
        <f t="shared" ca="1" si="4"/>
        <v>3.1292390811321642</v>
      </c>
    </row>
    <row r="26" spans="2:10" x14ac:dyDescent="0.3">
      <c r="D26" s="17"/>
      <c r="E26" s="17"/>
      <c r="F26" s="17"/>
      <c r="G26" s="17"/>
      <c r="H26" s="17"/>
      <c r="I26" s="17"/>
      <c r="J26" s="17"/>
    </row>
  </sheetData>
  <mergeCells count="2">
    <mergeCell ref="D4:F4"/>
    <mergeCell ref="G4:J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D90A-92BB-4589-9817-A6555FFD40FC}">
  <dimension ref="A2:R70"/>
  <sheetViews>
    <sheetView workbookViewId="0"/>
  </sheetViews>
  <sheetFormatPr defaultRowHeight="14.4" x14ac:dyDescent="0.3"/>
  <cols>
    <col min="2" max="2" width="18.109375" bestFit="1" customWidth="1"/>
    <col min="3" max="3" width="8.77734375" bestFit="1" customWidth="1"/>
    <col min="6" max="6" width="10.44140625" bestFit="1" customWidth="1"/>
    <col min="8" max="8" width="13.109375" bestFit="1" customWidth="1"/>
    <col min="9" max="9" width="9" bestFit="1" customWidth="1"/>
    <col min="10" max="10" width="10.21875" bestFit="1" customWidth="1"/>
    <col min="13" max="13" width="11.5546875" bestFit="1" customWidth="1"/>
    <col min="14" max="14" width="19.5546875" bestFit="1" customWidth="1"/>
    <col min="15" max="15" width="11.6640625" bestFit="1" customWidth="1"/>
    <col min="16" max="16" width="10.6640625" bestFit="1" customWidth="1"/>
  </cols>
  <sheetData>
    <row r="2" spans="1:18" x14ac:dyDescent="0.3">
      <c r="B2" s="356" t="s">
        <v>571</v>
      </c>
      <c r="C2" s="357"/>
      <c r="D2" s="357"/>
      <c r="E2" s="357"/>
      <c r="F2" s="357"/>
      <c r="G2" s="357"/>
      <c r="H2" s="357"/>
      <c r="I2" s="357"/>
      <c r="J2" s="357"/>
      <c r="K2" s="357"/>
      <c r="L2" s="357"/>
      <c r="M2" s="357"/>
      <c r="N2" s="357"/>
      <c r="O2" s="357"/>
      <c r="P2" s="357"/>
      <c r="Q2" s="358"/>
    </row>
    <row r="3" spans="1:18" x14ac:dyDescent="0.3">
      <c r="B3" s="4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47"/>
    </row>
    <row r="4" spans="1:18" x14ac:dyDescent="0.3">
      <c r="A4" s="6"/>
      <c r="B4" s="46"/>
      <c r="C4" s="6"/>
      <c r="D4" s="6"/>
      <c r="E4" s="6"/>
      <c r="F4" s="6"/>
      <c r="G4" s="6"/>
      <c r="H4" s="6"/>
      <c r="I4" s="361" t="s">
        <v>369</v>
      </c>
      <c r="J4" s="362"/>
      <c r="K4" s="361" t="s">
        <v>370</v>
      </c>
      <c r="L4" s="362"/>
      <c r="M4" s="361" t="s">
        <v>371</v>
      </c>
      <c r="N4" s="363"/>
      <c r="O4" s="362"/>
      <c r="P4" s="182" t="s">
        <v>372</v>
      </c>
      <c r="Q4" s="47"/>
      <c r="R4" s="6"/>
    </row>
    <row r="5" spans="1:18" x14ac:dyDescent="0.3">
      <c r="B5" s="183" t="s">
        <v>374</v>
      </c>
      <c r="C5" s="183" t="s">
        <v>373</v>
      </c>
      <c r="D5" s="183" t="s">
        <v>375</v>
      </c>
      <c r="E5" s="183" t="s">
        <v>376</v>
      </c>
      <c r="F5" s="183" t="s">
        <v>377</v>
      </c>
      <c r="G5" s="183" t="s">
        <v>0</v>
      </c>
      <c r="H5" s="183" t="s">
        <v>378</v>
      </c>
      <c r="I5" s="183" t="s">
        <v>381</v>
      </c>
      <c r="J5" s="183" t="s">
        <v>382</v>
      </c>
      <c r="K5" s="183" t="s">
        <v>383</v>
      </c>
      <c r="L5" s="183" t="s">
        <v>384</v>
      </c>
      <c r="M5" s="183" t="s">
        <v>385</v>
      </c>
      <c r="N5" s="183"/>
      <c r="O5" s="183" t="s">
        <v>380</v>
      </c>
      <c r="P5" s="183" t="s">
        <v>386</v>
      </c>
      <c r="Q5" s="183" t="s">
        <v>387</v>
      </c>
    </row>
    <row r="6" spans="1:18" x14ac:dyDescent="0.3">
      <c r="B6" s="191" t="s">
        <v>476</v>
      </c>
      <c r="C6" s="192" t="s">
        <v>475</v>
      </c>
      <c r="D6" s="193">
        <v>4.5599999999999996</v>
      </c>
      <c r="E6" s="192" t="s">
        <v>127</v>
      </c>
      <c r="F6" s="193" t="s">
        <v>477</v>
      </c>
      <c r="G6" s="193" t="s">
        <v>567</v>
      </c>
      <c r="H6" s="194">
        <v>1</v>
      </c>
      <c r="I6" s="195">
        <v>5.04</v>
      </c>
      <c r="J6" s="192" t="s">
        <v>127</v>
      </c>
      <c r="K6" s="196" t="s">
        <v>127</v>
      </c>
      <c r="L6" s="196" t="s">
        <v>127</v>
      </c>
      <c r="M6" s="196" t="s">
        <v>127</v>
      </c>
      <c r="N6" s="194">
        <f>-26.3%</f>
        <v>-0.26300000000000001</v>
      </c>
      <c r="O6" s="194">
        <v>-0.25640000000000002</v>
      </c>
      <c r="P6" s="192" t="s">
        <v>127</v>
      </c>
      <c r="Q6" s="197"/>
    </row>
    <row r="7" spans="1:18" x14ac:dyDescent="0.3">
      <c r="B7" s="46" t="s">
        <v>394</v>
      </c>
      <c r="C7" s="6" t="s">
        <v>393</v>
      </c>
      <c r="D7" s="6">
        <v>6.4000000000000001E-2</v>
      </c>
      <c r="E7" s="6">
        <v>3.37</v>
      </c>
      <c r="F7" s="6" t="s">
        <v>395</v>
      </c>
      <c r="G7" s="6" t="s">
        <v>396</v>
      </c>
      <c r="H7" s="34">
        <v>0.21507000000000001</v>
      </c>
      <c r="I7" s="6">
        <v>2.77</v>
      </c>
      <c r="J7" s="6">
        <v>2.77</v>
      </c>
      <c r="K7" s="34">
        <v>0.1804</v>
      </c>
      <c r="L7" s="34">
        <v>0.2452</v>
      </c>
      <c r="M7" s="34">
        <v>0.84379999999999999</v>
      </c>
      <c r="N7" s="34">
        <v>-4.8399999999999997E-3</v>
      </c>
      <c r="O7" s="34">
        <v>0.37280000000000002</v>
      </c>
      <c r="P7" s="6">
        <v>0</v>
      </c>
      <c r="Q7" s="47" t="s">
        <v>392</v>
      </c>
    </row>
    <row r="8" spans="1:18" x14ac:dyDescent="0.3">
      <c r="B8" s="46" t="s">
        <v>398</v>
      </c>
      <c r="C8" s="6" t="s">
        <v>397</v>
      </c>
      <c r="D8" s="6">
        <v>3.2</v>
      </c>
      <c r="E8" s="6">
        <v>6.74</v>
      </c>
      <c r="F8" s="6" t="s">
        <v>399</v>
      </c>
      <c r="G8" s="6" t="s">
        <v>400</v>
      </c>
      <c r="H8" s="34">
        <v>0.22955</v>
      </c>
      <c r="I8" s="6">
        <v>3.47</v>
      </c>
      <c r="J8" s="6">
        <v>2.7</v>
      </c>
      <c r="K8" s="34">
        <v>9.0499999999999997E-2</v>
      </c>
      <c r="L8" s="34">
        <v>0.1232</v>
      </c>
      <c r="M8" s="34">
        <v>0.36840000000000001</v>
      </c>
      <c r="N8" s="34">
        <v>0.14477999999999999</v>
      </c>
      <c r="O8" s="34">
        <v>0.1183</v>
      </c>
      <c r="P8" s="6">
        <v>1.9E-3</v>
      </c>
      <c r="Q8" s="47" t="s">
        <v>392</v>
      </c>
    </row>
    <row r="9" spans="1:18" x14ac:dyDescent="0.3">
      <c r="B9" s="46" t="s">
        <v>410</v>
      </c>
      <c r="C9" s="6" t="s">
        <v>409</v>
      </c>
      <c r="D9" s="6">
        <v>1.87</v>
      </c>
      <c r="E9" s="6">
        <v>5.48</v>
      </c>
      <c r="F9" s="6" t="s">
        <v>411</v>
      </c>
      <c r="G9" s="6" t="s">
        <v>412</v>
      </c>
      <c r="H9" s="34">
        <v>-0.41485</v>
      </c>
      <c r="I9" s="6">
        <v>7.22</v>
      </c>
      <c r="J9" s="6">
        <v>7.22</v>
      </c>
      <c r="K9" s="34">
        <v>7.9699999999999993E-2</v>
      </c>
      <c r="L9" s="34">
        <v>8.8999999999999996E-2</v>
      </c>
      <c r="M9" s="34">
        <v>0.67290000000000005</v>
      </c>
      <c r="N9" s="34">
        <v>0.4108</v>
      </c>
      <c r="O9" s="34">
        <v>0.44469999999999998</v>
      </c>
      <c r="P9" s="6" t="s">
        <v>127</v>
      </c>
      <c r="Q9" s="47" t="s">
        <v>392</v>
      </c>
    </row>
    <row r="10" spans="1:18" x14ac:dyDescent="0.3">
      <c r="A10" t="s">
        <v>570</v>
      </c>
      <c r="B10" s="46" t="s">
        <v>421</v>
      </c>
      <c r="C10" s="6" t="s">
        <v>420</v>
      </c>
      <c r="D10" s="6">
        <v>1.52</v>
      </c>
      <c r="E10" s="6">
        <v>11.3</v>
      </c>
      <c r="F10" s="6" t="s">
        <v>422</v>
      </c>
      <c r="G10" s="6" t="s">
        <v>423</v>
      </c>
      <c r="H10" s="34">
        <v>7.9500000000000005E-3</v>
      </c>
      <c r="I10" s="6">
        <v>2.56</v>
      </c>
      <c r="J10" s="6">
        <v>2.56</v>
      </c>
      <c r="K10" s="34">
        <v>9.4100000000000003E-2</v>
      </c>
      <c r="L10" s="34">
        <v>0.13350000000000001</v>
      </c>
      <c r="M10" s="34">
        <v>0.56820000000000004</v>
      </c>
      <c r="N10" s="34">
        <v>0.14976</v>
      </c>
      <c r="O10" s="34">
        <v>0.1298</v>
      </c>
      <c r="P10" s="6" t="s">
        <v>127</v>
      </c>
      <c r="Q10" s="47" t="s">
        <v>392</v>
      </c>
    </row>
    <row r="11" spans="1:18" x14ac:dyDescent="0.3">
      <c r="B11" s="46" t="s">
        <v>456</v>
      </c>
      <c r="C11" s="6" t="s">
        <v>455</v>
      </c>
      <c r="D11" s="6">
        <v>2.2999999999999998</v>
      </c>
      <c r="E11" s="6">
        <v>43.82</v>
      </c>
      <c r="F11" s="6" t="s">
        <v>457</v>
      </c>
      <c r="G11" s="6" t="s">
        <v>458</v>
      </c>
      <c r="H11" s="34">
        <v>0.36925000000000002</v>
      </c>
      <c r="I11" s="6">
        <v>1.5</v>
      </c>
      <c r="J11" s="6">
        <v>1.5</v>
      </c>
      <c r="K11" s="34">
        <v>6.5699999999999995E-2</v>
      </c>
      <c r="L11" s="34">
        <v>8.9899999999999994E-2</v>
      </c>
      <c r="M11" s="34">
        <v>0.62129999999999996</v>
      </c>
      <c r="N11" s="34">
        <v>0.36179</v>
      </c>
      <c r="O11" s="34">
        <v>8.9599999999999999E-2</v>
      </c>
      <c r="P11" s="6">
        <v>0.18609999999999999</v>
      </c>
      <c r="Q11" s="47" t="s">
        <v>392</v>
      </c>
    </row>
    <row r="12" spans="1:18" x14ac:dyDescent="0.3">
      <c r="B12" s="46" t="s">
        <v>464</v>
      </c>
      <c r="C12" s="6" t="s">
        <v>463</v>
      </c>
      <c r="D12" s="6">
        <v>5.18</v>
      </c>
      <c r="E12" s="6">
        <v>19.78</v>
      </c>
      <c r="F12" s="6" t="s">
        <v>465</v>
      </c>
      <c r="G12" s="6" t="s">
        <v>466</v>
      </c>
      <c r="H12" s="34" t="s">
        <v>127</v>
      </c>
      <c r="I12" s="6">
        <v>1.42</v>
      </c>
      <c r="J12" s="6">
        <v>1.42</v>
      </c>
      <c r="K12" s="34">
        <v>4.3900000000000002E-2</v>
      </c>
      <c r="L12" s="34">
        <v>7.8799999999999995E-2</v>
      </c>
      <c r="M12" s="34">
        <v>0.43930000000000002</v>
      </c>
      <c r="N12" s="34">
        <v>0.13929</v>
      </c>
      <c r="O12" s="34">
        <v>0.1042</v>
      </c>
      <c r="P12" s="6">
        <v>0.35630000000000001</v>
      </c>
      <c r="Q12" s="47" t="s">
        <v>392</v>
      </c>
    </row>
    <row r="13" spans="1:18" x14ac:dyDescent="0.3">
      <c r="B13" s="46" t="s">
        <v>468</v>
      </c>
      <c r="C13" s="6" t="s">
        <v>467</v>
      </c>
      <c r="D13" s="6">
        <v>2.6</v>
      </c>
      <c r="E13" s="6" t="s">
        <v>127</v>
      </c>
      <c r="F13" s="6" t="s">
        <v>469</v>
      </c>
      <c r="G13" s="6" t="s">
        <v>470</v>
      </c>
      <c r="H13" s="34">
        <v>-0.40960999999999997</v>
      </c>
      <c r="I13" s="6">
        <v>4.2300000000000004</v>
      </c>
      <c r="J13" s="6">
        <v>3.87</v>
      </c>
      <c r="K13" s="34">
        <v>-0.2465</v>
      </c>
      <c r="L13" s="34">
        <v>-0.3266</v>
      </c>
      <c r="M13" s="34">
        <v>0.15379999999999999</v>
      </c>
      <c r="N13" s="34">
        <v>-0.36277999999999999</v>
      </c>
      <c r="O13" s="34">
        <v>-0.44940000000000002</v>
      </c>
      <c r="P13" s="6">
        <v>2.5999999999999999E-3</v>
      </c>
      <c r="Q13" s="47" t="s">
        <v>392</v>
      </c>
    </row>
    <row r="14" spans="1:18" x14ac:dyDescent="0.3">
      <c r="B14" s="46" t="s">
        <v>483</v>
      </c>
      <c r="C14" s="6" t="s">
        <v>482</v>
      </c>
      <c r="D14" s="6">
        <v>2.19</v>
      </c>
      <c r="E14" s="6">
        <v>11.18</v>
      </c>
      <c r="F14" s="6" t="s">
        <v>484</v>
      </c>
      <c r="G14" s="6" t="s">
        <v>485</v>
      </c>
      <c r="H14" s="34">
        <v>-0.22037000000000001</v>
      </c>
      <c r="I14" s="6">
        <v>7.93</v>
      </c>
      <c r="J14" s="6">
        <v>7.93</v>
      </c>
      <c r="K14" s="34">
        <v>6.9199999999999998E-2</v>
      </c>
      <c r="L14" s="34">
        <v>7.7100000000000002E-2</v>
      </c>
      <c r="M14" s="34">
        <v>0.91320000000000001</v>
      </c>
      <c r="N14" s="34">
        <v>0.67862999999999996</v>
      </c>
      <c r="O14" s="34">
        <v>0.2903</v>
      </c>
      <c r="P14" s="6" t="s">
        <v>127</v>
      </c>
      <c r="Q14" s="47" t="s">
        <v>392</v>
      </c>
    </row>
    <row r="15" spans="1:18" x14ac:dyDescent="0.3">
      <c r="B15" s="46" t="s">
        <v>487</v>
      </c>
      <c r="C15" s="6" t="s">
        <v>486</v>
      </c>
      <c r="D15" s="6">
        <v>0.24</v>
      </c>
      <c r="E15" s="6">
        <v>61.27</v>
      </c>
      <c r="F15" s="6" t="s">
        <v>488</v>
      </c>
      <c r="G15" s="6" t="s">
        <v>489</v>
      </c>
      <c r="H15" s="34">
        <v>-0.15365000000000001</v>
      </c>
      <c r="I15" s="6">
        <v>4.95</v>
      </c>
      <c r="J15" s="6">
        <v>4.95</v>
      </c>
      <c r="K15" s="34">
        <v>1.47E-2</v>
      </c>
      <c r="L15" s="34">
        <v>1.7600000000000001E-2</v>
      </c>
      <c r="M15" s="34">
        <v>0.55120000000000002</v>
      </c>
      <c r="N15" s="34">
        <v>8.6629999999999999E-2</v>
      </c>
      <c r="O15" s="34">
        <v>3.8800000000000001E-2</v>
      </c>
      <c r="P15" s="6" t="s">
        <v>127</v>
      </c>
      <c r="Q15" s="47" t="s">
        <v>392</v>
      </c>
    </row>
    <row r="16" spans="1:18" x14ac:dyDescent="0.3">
      <c r="B16" s="46" t="s">
        <v>491</v>
      </c>
      <c r="C16" s="6" t="s">
        <v>490</v>
      </c>
      <c r="D16" s="6">
        <v>0.46500000000000002</v>
      </c>
      <c r="E16" s="6">
        <v>9.89</v>
      </c>
      <c r="F16" s="6" t="s">
        <v>492</v>
      </c>
      <c r="G16" s="6" t="s">
        <v>493</v>
      </c>
      <c r="H16" s="34">
        <v>-0.12753999999999999</v>
      </c>
      <c r="I16" s="6">
        <v>13.73</v>
      </c>
      <c r="J16" s="6">
        <v>13.71</v>
      </c>
      <c r="K16" s="34">
        <v>6.7500000000000004E-2</v>
      </c>
      <c r="L16" s="34">
        <v>7.3499999999999996E-2</v>
      </c>
      <c r="M16" s="34">
        <v>0.60350000000000004</v>
      </c>
      <c r="N16" s="34">
        <v>0.37508999999999998</v>
      </c>
      <c r="O16" s="34">
        <v>0.39400000000000002</v>
      </c>
      <c r="P16" s="6">
        <v>0</v>
      </c>
      <c r="Q16" s="47" t="s">
        <v>392</v>
      </c>
    </row>
    <row r="17" spans="2:17" x14ac:dyDescent="0.3">
      <c r="B17" s="46" t="s">
        <v>495</v>
      </c>
      <c r="C17" s="6" t="s">
        <v>494</v>
      </c>
      <c r="D17" s="6">
        <v>3.11</v>
      </c>
      <c r="E17" s="6">
        <v>11.09</v>
      </c>
      <c r="F17" s="6" t="s">
        <v>496</v>
      </c>
      <c r="G17" s="6" t="s">
        <v>497</v>
      </c>
      <c r="H17" s="34">
        <v>1.7146300000000001</v>
      </c>
      <c r="I17" s="6">
        <v>1.54</v>
      </c>
      <c r="J17" s="6">
        <v>1.35</v>
      </c>
      <c r="K17" s="34">
        <v>3.1399999999999997E-2</v>
      </c>
      <c r="L17" s="34">
        <v>6.3500000000000001E-2</v>
      </c>
      <c r="M17" s="34">
        <v>0.1197</v>
      </c>
      <c r="N17" s="34">
        <v>3.6549999999999999E-2</v>
      </c>
      <c r="O17" s="34">
        <v>2.5999999999999999E-2</v>
      </c>
      <c r="P17" s="6">
        <v>0.51980000000000004</v>
      </c>
      <c r="Q17" s="47" t="s">
        <v>392</v>
      </c>
    </row>
    <row r="18" spans="2:17" x14ac:dyDescent="0.3">
      <c r="B18" s="46" t="s">
        <v>506</v>
      </c>
      <c r="C18" s="6" t="s">
        <v>505</v>
      </c>
      <c r="D18" s="6">
        <v>2.64</v>
      </c>
      <c r="E18" s="6" t="s">
        <v>127</v>
      </c>
      <c r="F18" s="6" t="s">
        <v>507</v>
      </c>
      <c r="G18" s="6" t="s">
        <v>508</v>
      </c>
      <c r="H18" s="34">
        <v>-2.5659999999999999E-2</v>
      </c>
      <c r="I18" s="6">
        <v>4.0999999999999996</v>
      </c>
      <c r="J18" s="6">
        <v>4.0999999999999996</v>
      </c>
      <c r="K18" s="34">
        <v>-4.9200000000000001E-2</v>
      </c>
      <c r="L18" s="34">
        <v>-5.7099999999999998E-2</v>
      </c>
      <c r="M18" s="34">
        <v>0.80289999999999995</v>
      </c>
      <c r="N18" s="34">
        <v>-0.16578000000000001</v>
      </c>
      <c r="O18" s="34">
        <v>-0.1643</v>
      </c>
      <c r="P18" s="6" t="s">
        <v>127</v>
      </c>
      <c r="Q18" s="47" t="s">
        <v>392</v>
      </c>
    </row>
    <row r="19" spans="2:17" x14ac:dyDescent="0.3">
      <c r="B19" s="46" t="s">
        <v>510</v>
      </c>
      <c r="C19" s="6" t="s">
        <v>509</v>
      </c>
      <c r="D19" s="6">
        <v>1.46</v>
      </c>
      <c r="E19" s="6">
        <v>13.76</v>
      </c>
      <c r="F19" s="6" t="s">
        <v>511</v>
      </c>
      <c r="G19" s="6" t="s">
        <v>512</v>
      </c>
      <c r="H19" s="34" t="s">
        <v>127</v>
      </c>
      <c r="I19" s="6">
        <v>5.08</v>
      </c>
      <c r="J19" s="6">
        <v>5.08</v>
      </c>
      <c r="K19" s="34">
        <v>9.5899999999999999E-2</v>
      </c>
      <c r="L19" s="34">
        <v>0.11650000000000001</v>
      </c>
      <c r="M19" s="34">
        <v>0.59089999999999998</v>
      </c>
      <c r="N19" s="34">
        <v>0.15468999999999999</v>
      </c>
      <c r="O19" s="34">
        <v>0.14330000000000001</v>
      </c>
      <c r="P19" s="6" t="s">
        <v>127</v>
      </c>
      <c r="Q19" s="47" t="s">
        <v>392</v>
      </c>
    </row>
    <row r="20" spans="2:17" x14ac:dyDescent="0.3">
      <c r="B20" s="53" t="s">
        <v>564</v>
      </c>
      <c r="C20" s="54" t="s">
        <v>563</v>
      </c>
      <c r="D20" s="54">
        <v>5.9</v>
      </c>
      <c r="E20" s="54">
        <v>18.45</v>
      </c>
      <c r="F20" s="54" t="s">
        <v>565</v>
      </c>
      <c r="G20" s="54" t="s">
        <v>566</v>
      </c>
      <c r="H20" s="174">
        <v>0.90049999999999997</v>
      </c>
      <c r="I20" s="54">
        <v>16.61</v>
      </c>
      <c r="J20" s="54">
        <v>16.61</v>
      </c>
      <c r="K20" s="174">
        <v>0.4214</v>
      </c>
      <c r="L20" s="174">
        <v>0.46760000000000002</v>
      </c>
      <c r="M20" s="174">
        <v>0.89700000000000002</v>
      </c>
      <c r="N20" s="174">
        <v>0.74392000000000003</v>
      </c>
      <c r="O20" s="174">
        <v>0.55920000000000003</v>
      </c>
      <c r="P20" s="54" t="s">
        <v>127</v>
      </c>
      <c r="Q20" s="128" t="s">
        <v>392</v>
      </c>
    </row>
    <row r="22" spans="2:17" x14ac:dyDescent="0.3">
      <c r="B22" s="356" t="s">
        <v>368</v>
      </c>
      <c r="C22" s="357"/>
      <c r="D22" s="357"/>
      <c r="E22" s="357"/>
      <c r="F22" s="357"/>
      <c r="G22" s="357"/>
      <c r="H22" s="357"/>
      <c r="I22" s="357"/>
      <c r="J22" s="357"/>
      <c r="K22" s="357"/>
      <c r="L22" s="357"/>
      <c r="M22" s="357"/>
      <c r="N22" s="357"/>
      <c r="O22" s="357"/>
      <c r="P22" s="357"/>
      <c r="Q22" s="358"/>
    </row>
    <row r="23" spans="2:17" x14ac:dyDescent="0.3">
      <c r="B23" s="4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47"/>
    </row>
    <row r="24" spans="2:17" x14ac:dyDescent="0.3">
      <c r="B24" s="46"/>
      <c r="C24" s="6"/>
      <c r="D24" s="6"/>
      <c r="E24" s="6"/>
      <c r="F24" s="6"/>
      <c r="G24" s="6"/>
      <c r="H24" s="6"/>
      <c r="I24" s="361" t="s">
        <v>369</v>
      </c>
      <c r="J24" s="362"/>
      <c r="K24" s="361" t="s">
        <v>370</v>
      </c>
      <c r="L24" s="362"/>
      <c r="M24" s="361" t="s">
        <v>371</v>
      </c>
      <c r="N24" s="363"/>
      <c r="O24" s="362"/>
      <c r="P24" s="182" t="s">
        <v>372</v>
      </c>
      <c r="Q24" s="47"/>
    </row>
    <row r="25" spans="2:17" x14ac:dyDescent="0.3">
      <c r="B25" s="183" t="s">
        <v>374</v>
      </c>
      <c r="C25" s="183" t="s">
        <v>373</v>
      </c>
      <c r="D25" s="183" t="s">
        <v>375</v>
      </c>
      <c r="E25" s="183" t="s">
        <v>376</v>
      </c>
      <c r="F25" s="183" t="s">
        <v>377</v>
      </c>
      <c r="G25" s="183" t="s">
        <v>0</v>
      </c>
      <c r="H25" s="183" t="s">
        <v>378</v>
      </c>
      <c r="I25" s="183" t="s">
        <v>381</v>
      </c>
      <c r="J25" s="183" t="s">
        <v>382</v>
      </c>
      <c r="K25" s="183" t="s">
        <v>383</v>
      </c>
      <c r="L25" s="183" t="s">
        <v>384</v>
      </c>
      <c r="M25" s="183" t="s">
        <v>385</v>
      </c>
      <c r="N25" s="183" t="s">
        <v>379</v>
      </c>
      <c r="O25" s="183" t="s">
        <v>380</v>
      </c>
      <c r="P25" s="183" t="s">
        <v>386</v>
      </c>
      <c r="Q25" s="183" t="s">
        <v>387</v>
      </c>
    </row>
    <row r="26" spans="2:17" x14ac:dyDescent="0.3">
      <c r="B26" s="46" t="s">
        <v>389</v>
      </c>
      <c r="C26" s="6" t="s">
        <v>388</v>
      </c>
      <c r="D26" s="6">
        <v>0.18099999999999999</v>
      </c>
      <c r="E26" s="6">
        <v>102.89</v>
      </c>
      <c r="F26" s="6" t="s">
        <v>390</v>
      </c>
      <c r="G26" s="6" t="s">
        <v>391</v>
      </c>
      <c r="H26" s="34">
        <v>0.81203999999999998</v>
      </c>
      <c r="I26" s="6">
        <v>4.12</v>
      </c>
      <c r="J26" s="6">
        <v>3.99</v>
      </c>
      <c r="K26" s="34">
        <v>8.6900000000000005E-2</v>
      </c>
      <c r="L26" s="34">
        <v>0.1196</v>
      </c>
      <c r="M26" s="34">
        <v>0.71609999999999996</v>
      </c>
      <c r="N26" s="34">
        <v>0.26962999999999998</v>
      </c>
      <c r="O26" s="34">
        <v>0.24929999999999999</v>
      </c>
      <c r="P26" s="6">
        <v>5.0999999999999997E-2</v>
      </c>
      <c r="Q26" s="47" t="s">
        <v>392</v>
      </c>
    </row>
    <row r="27" spans="2:17" x14ac:dyDescent="0.3">
      <c r="B27" s="46" t="s">
        <v>394</v>
      </c>
      <c r="C27" s="6" t="s">
        <v>393</v>
      </c>
      <c r="D27" s="6">
        <v>6.4000000000000001E-2</v>
      </c>
      <c r="E27" s="6">
        <v>3.37</v>
      </c>
      <c r="F27" s="6" t="s">
        <v>395</v>
      </c>
      <c r="G27" s="6" t="s">
        <v>396</v>
      </c>
      <c r="H27" s="34">
        <v>0.21507000000000001</v>
      </c>
      <c r="I27" s="6">
        <v>2.77</v>
      </c>
      <c r="J27" s="6">
        <v>2.77</v>
      </c>
      <c r="K27" s="34">
        <v>0.1804</v>
      </c>
      <c r="L27" s="34">
        <v>0.2452</v>
      </c>
      <c r="M27" s="34">
        <v>0.84379999999999999</v>
      </c>
      <c r="N27" s="34">
        <v>-4.8399999999999997E-3</v>
      </c>
      <c r="O27" s="34">
        <v>0.37280000000000002</v>
      </c>
      <c r="P27" s="6">
        <v>0</v>
      </c>
      <c r="Q27" s="47" t="s">
        <v>392</v>
      </c>
    </row>
    <row r="28" spans="2:17" x14ac:dyDescent="0.3">
      <c r="B28" s="46" t="s">
        <v>398</v>
      </c>
      <c r="C28" s="6" t="s">
        <v>397</v>
      </c>
      <c r="D28" s="6">
        <v>3.2</v>
      </c>
      <c r="E28" s="6">
        <v>6.74</v>
      </c>
      <c r="F28" s="6" t="s">
        <v>399</v>
      </c>
      <c r="G28" s="6" t="s">
        <v>400</v>
      </c>
      <c r="H28" s="34">
        <v>0.22955</v>
      </c>
      <c r="I28" s="6">
        <v>3.47</v>
      </c>
      <c r="J28" s="6">
        <v>2.7</v>
      </c>
      <c r="K28" s="34">
        <v>9.0499999999999997E-2</v>
      </c>
      <c r="L28" s="34">
        <v>0.1232</v>
      </c>
      <c r="M28" s="34">
        <v>0.36840000000000001</v>
      </c>
      <c r="N28" s="34">
        <v>0.14477999999999999</v>
      </c>
      <c r="O28" s="34">
        <v>0.1183</v>
      </c>
      <c r="P28" s="6">
        <v>1.9E-3</v>
      </c>
      <c r="Q28" s="47" t="s">
        <v>392</v>
      </c>
    </row>
    <row r="29" spans="2:17" x14ac:dyDescent="0.3">
      <c r="B29" s="46" t="s">
        <v>402</v>
      </c>
      <c r="C29" s="6" t="s">
        <v>401</v>
      </c>
      <c r="D29" s="6">
        <v>0.34499999999999997</v>
      </c>
      <c r="E29" s="6" t="s">
        <v>127</v>
      </c>
      <c r="F29" s="6" t="s">
        <v>403</v>
      </c>
      <c r="G29" s="6" t="s">
        <v>404</v>
      </c>
      <c r="H29" s="34">
        <v>5.0340000000000003E-2</v>
      </c>
      <c r="I29" s="6">
        <v>6.75</v>
      </c>
      <c r="J29" s="6">
        <v>6.71</v>
      </c>
      <c r="K29" s="34">
        <v>-0.1502</v>
      </c>
      <c r="L29" s="34">
        <v>-0.2056</v>
      </c>
      <c r="M29" s="34">
        <v>0.86140000000000005</v>
      </c>
      <c r="N29" s="34">
        <v>-3.66594</v>
      </c>
      <c r="O29" s="34">
        <v>-3.2662</v>
      </c>
      <c r="P29" s="6">
        <v>3.2599999999999997E-2</v>
      </c>
      <c r="Q29" s="47" t="s">
        <v>392</v>
      </c>
    </row>
    <row r="30" spans="2:17" x14ac:dyDescent="0.3">
      <c r="B30" s="46" t="s">
        <v>406</v>
      </c>
      <c r="C30" s="6" t="s">
        <v>405</v>
      </c>
      <c r="D30" s="6">
        <v>2.37</v>
      </c>
      <c r="E30" s="6">
        <v>10.36</v>
      </c>
      <c r="F30" s="6" t="s">
        <v>407</v>
      </c>
      <c r="G30" s="6" t="s">
        <v>408</v>
      </c>
      <c r="H30" s="34">
        <v>-0.45323000000000002</v>
      </c>
      <c r="I30" s="6">
        <v>2.89</v>
      </c>
      <c r="J30" s="6">
        <v>2.38</v>
      </c>
      <c r="K30" s="34">
        <v>4.9099999999999998E-2</v>
      </c>
      <c r="L30" s="34">
        <v>7.1999999999999995E-2</v>
      </c>
      <c r="M30" s="34">
        <v>7.7100000000000002E-2</v>
      </c>
      <c r="N30" s="34">
        <v>2.257E-2</v>
      </c>
      <c r="O30" s="34">
        <v>5.2999999999999999E-2</v>
      </c>
      <c r="P30" s="6">
        <v>0.27629999999999999</v>
      </c>
      <c r="Q30" s="47" t="s">
        <v>392</v>
      </c>
    </row>
    <row r="31" spans="2:17" x14ac:dyDescent="0.3">
      <c r="B31" s="46" t="s">
        <v>410</v>
      </c>
      <c r="C31" s="6" t="s">
        <v>409</v>
      </c>
      <c r="D31" s="6">
        <v>1.87</v>
      </c>
      <c r="E31" s="6">
        <v>5.48</v>
      </c>
      <c r="F31" s="6" t="s">
        <v>411</v>
      </c>
      <c r="G31" s="6" t="s">
        <v>412</v>
      </c>
      <c r="H31" s="34">
        <v>-0.41485</v>
      </c>
      <c r="I31" s="6">
        <v>7.22</v>
      </c>
      <c r="J31" s="6">
        <v>7.22</v>
      </c>
      <c r="K31" s="34">
        <v>7.9699999999999993E-2</v>
      </c>
      <c r="L31" s="34">
        <v>8.8999999999999996E-2</v>
      </c>
      <c r="M31" s="34">
        <v>0.67290000000000005</v>
      </c>
      <c r="N31" s="34">
        <v>0.4108</v>
      </c>
      <c r="O31" s="34">
        <v>0.44469999999999998</v>
      </c>
      <c r="P31" s="6" t="s">
        <v>127</v>
      </c>
      <c r="Q31" s="47" t="s">
        <v>392</v>
      </c>
    </row>
    <row r="32" spans="2:17" x14ac:dyDescent="0.3">
      <c r="B32" s="46" t="s">
        <v>414</v>
      </c>
      <c r="C32" s="6" t="s">
        <v>413</v>
      </c>
      <c r="D32" s="6">
        <v>5.76</v>
      </c>
      <c r="E32" s="6">
        <v>10.89</v>
      </c>
      <c r="F32" s="6" t="s">
        <v>415</v>
      </c>
      <c r="G32" s="6" t="s">
        <v>416</v>
      </c>
      <c r="H32" s="34">
        <v>-0.11121</v>
      </c>
      <c r="I32" s="6">
        <v>6.27</v>
      </c>
      <c r="J32" s="6">
        <v>6.27</v>
      </c>
      <c r="K32" s="34">
        <v>-0.28789999999999999</v>
      </c>
      <c r="L32" s="34">
        <v>-0.35199999999999998</v>
      </c>
      <c r="M32" s="34">
        <v>0.73499999999999999</v>
      </c>
      <c r="N32" s="34">
        <v>5.1650000000000001E-2</v>
      </c>
      <c r="O32" s="34">
        <v>-0.87860000000000005</v>
      </c>
      <c r="P32" s="6" t="s">
        <v>127</v>
      </c>
      <c r="Q32" s="47" t="s">
        <v>392</v>
      </c>
    </row>
    <row r="33" spans="2:17" x14ac:dyDescent="0.3">
      <c r="B33" s="46" t="s">
        <v>418</v>
      </c>
      <c r="C33" s="6" t="s">
        <v>417</v>
      </c>
      <c r="D33" s="6">
        <v>1.23</v>
      </c>
      <c r="E33" s="6">
        <v>10.89</v>
      </c>
      <c r="F33" s="6" t="s">
        <v>415</v>
      </c>
      <c r="G33" s="6" t="s">
        <v>419</v>
      </c>
      <c r="H33" s="34">
        <v>0.10493</v>
      </c>
      <c r="I33" s="6">
        <v>0.96</v>
      </c>
      <c r="J33" s="6">
        <v>0.96</v>
      </c>
      <c r="K33" s="34">
        <v>0.16239999999999999</v>
      </c>
      <c r="L33" s="34">
        <v>0.25590000000000002</v>
      </c>
      <c r="M33" s="34">
        <v>1</v>
      </c>
      <c r="N33" s="34">
        <v>0.38527</v>
      </c>
      <c r="O33" s="34">
        <v>0.3301</v>
      </c>
      <c r="P33" s="6" t="s">
        <v>127</v>
      </c>
      <c r="Q33" s="47" t="s">
        <v>392</v>
      </c>
    </row>
    <row r="34" spans="2:17" x14ac:dyDescent="0.3">
      <c r="B34" s="46" t="s">
        <v>421</v>
      </c>
      <c r="C34" s="6" t="s">
        <v>420</v>
      </c>
      <c r="D34" s="6">
        <v>1.52</v>
      </c>
      <c r="E34" s="6">
        <v>11.3</v>
      </c>
      <c r="F34" s="6" t="s">
        <v>422</v>
      </c>
      <c r="G34" s="6" t="s">
        <v>423</v>
      </c>
      <c r="H34" s="34">
        <v>7.9500000000000005E-3</v>
      </c>
      <c r="I34" s="6">
        <v>2.56</v>
      </c>
      <c r="J34" s="6">
        <v>2.56</v>
      </c>
      <c r="K34" s="34">
        <v>9.4100000000000003E-2</v>
      </c>
      <c r="L34" s="34">
        <v>0.13350000000000001</v>
      </c>
      <c r="M34" s="34">
        <v>0.56820000000000004</v>
      </c>
      <c r="N34" s="34">
        <v>0.14976</v>
      </c>
      <c r="O34" s="34">
        <v>0.1298</v>
      </c>
      <c r="P34" s="6" t="s">
        <v>127</v>
      </c>
      <c r="Q34" s="47" t="s">
        <v>392</v>
      </c>
    </row>
    <row r="35" spans="2:17" x14ac:dyDescent="0.3">
      <c r="B35" s="46" t="s">
        <v>425</v>
      </c>
      <c r="C35" s="6" t="s">
        <v>424</v>
      </c>
      <c r="D35" s="6">
        <v>320.39999999999998</v>
      </c>
      <c r="E35" s="6">
        <v>33.76</v>
      </c>
      <c r="F35" s="6" t="s">
        <v>426</v>
      </c>
      <c r="G35" s="6" t="s">
        <v>427</v>
      </c>
      <c r="H35" s="34">
        <v>0.24901999999999999</v>
      </c>
      <c r="I35" s="6">
        <v>1.07</v>
      </c>
      <c r="J35" s="6">
        <v>1.07</v>
      </c>
      <c r="K35" s="34">
        <v>0.10879999999999999</v>
      </c>
      <c r="L35" s="34">
        <v>0.24329999999999999</v>
      </c>
      <c r="M35" s="34">
        <v>0.45450000000000002</v>
      </c>
      <c r="N35" s="34">
        <v>0.31228</v>
      </c>
      <c r="O35" s="34">
        <v>0.25169999999999998</v>
      </c>
      <c r="P35" s="6">
        <v>0.55420000000000003</v>
      </c>
      <c r="Q35" s="47" t="s">
        <v>392</v>
      </c>
    </row>
    <row r="36" spans="2:17" x14ac:dyDescent="0.3">
      <c r="B36" s="46" t="s">
        <v>429</v>
      </c>
      <c r="C36" s="6" t="s">
        <v>428</v>
      </c>
      <c r="D36" s="6">
        <v>29.9</v>
      </c>
      <c r="E36" s="6">
        <v>26</v>
      </c>
      <c r="F36" s="6" t="s">
        <v>430</v>
      </c>
      <c r="G36" s="6" t="s">
        <v>431</v>
      </c>
      <c r="H36" s="34">
        <v>0.16844000000000001</v>
      </c>
      <c r="I36" s="6">
        <v>2.16</v>
      </c>
      <c r="J36" s="6">
        <v>2.14</v>
      </c>
      <c r="K36" s="34">
        <v>3.27E-2</v>
      </c>
      <c r="L36" s="34">
        <v>4.9500000000000002E-2</v>
      </c>
      <c r="M36" s="34">
        <v>0.50770000000000004</v>
      </c>
      <c r="N36" s="34">
        <v>0.2213</v>
      </c>
      <c r="O36" s="34">
        <v>0.1807</v>
      </c>
      <c r="P36" s="6">
        <v>9.5899999999999999E-2</v>
      </c>
      <c r="Q36" s="47" t="s">
        <v>392</v>
      </c>
    </row>
    <row r="37" spans="2:17" x14ac:dyDescent="0.3">
      <c r="B37" s="46" t="s">
        <v>433</v>
      </c>
      <c r="C37" s="6" t="s">
        <v>432</v>
      </c>
      <c r="D37" s="6">
        <v>19.8</v>
      </c>
      <c r="E37" s="6">
        <v>16.98</v>
      </c>
      <c r="F37" s="6" t="s">
        <v>434</v>
      </c>
      <c r="G37" s="6" t="s">
        <v>431</v>
      </c>
      <c r="H37" s="34">
        <v>0.23698</v>
      </c>
      <c r="I37" s="6">
        <v>2.2599999999999998</v>
      </c>
      <c r="J37" s="6">
        <v>1.72</v>
      </c>
      <c r="K37" s="34">
        <v>8.09E-2</v>
      </c>
      <c r="L37" s="34">
        <v>0.1106</v>
      </c>
      <c r="M37" s="34">
        <v>0.60489999999999999</v>
      </c>
      <c r="N37" s="34">
        <v>0.1045</v>
      </c>
      <c r="O37" s="34">
        <v>0.10829999999999999</v>
      </c>
      <c r="P37" s="6">
        <v>8.7900000000000006E-2</v>
      </c>
      <c r="Q37" s="47" t="s">
        <v>392</v>
      </c>
    </row>
    <row r="38" spans="2:17" x14ac:dyDescent="0.3">
      <c r="B38" s="46" t="s">
        <v>436</v>
      </c>
      <c r="C38" s="6" t="s">
        <v>435</v>
      </c>
      <c r="D38" s="6">
        <v>1.36</v>
      </c>
      <c r="E38" s="6" t="s">
        <v>127</v>
      </c>
      <c r="F38" s="6" t="s">
        <v>437</v>
      </c>
      <c r="G38" s="6" t="s">
        <v>438</v>
      </c>
      <c r="H38" s="34" t="s">
        <v>127</v>
      </c>
      <c r="I38" s="6">
        <v>6.6</v>
      </c>
      <c r="J38" s="6">
        <v>6.6</v>
      </c>
      <c r="K38" s="34">
        <v>-7.3400000000000007E-2</v>
      </c>
      <c r="L38" s="34">
        <v>-8.3299999999999999E-2</v>
      </c>
      <c r="M38" s="34">
        <v>0.84619999999999995</v>
      </c>
      <c r="N38" s="34">
        <v>6.4030000000000004E-2</v>
      </c>
      <c r="O38" s="34">
        <v>-0.2949</v>
      </c>
      <c r="P38" s="6">
        <v>4.0399999999999998E-2</v>
      </c>
      <c r="Q38" s="47" t="s">
        <v>392</v>
      </c>
    </row>
    <row r="39" spans="2:17" x14ac:dyDescent="0.3">
      <c r="B39" s="46" t="s">
        <v>440</v>
      </c>
      <c r="C39" s="6" t="s">
        <v>439</v>
      </c>
      <c r="D39" s="6">
        <v>9.2899999999999991</v>
      </c>
      <c r="E39" s="6">
        <v>8.08</v>
      </c>
      <c r="F39" s="6" t="s">
        <v>441</v>
      </c>
      <c r="G39" s="6" t="s">
        <v>442</v>
      </c>
      <c r="H39" s="34">
        <v>0.23623</v>
      </c>
      <c r="I39" s="6">
        <v>2.87</v>
      </c>
      <c r="J39" s="6">
        <v>2.87</v>
      </c>
      <c r="K39" s="34">
        <v>0.47360000000000002</v>
      </c>
      <c r="L39" s="34">
        <v>0.6694</v>
      </c>
      <c r="M39" s="34">
        <v>0.69920000000000004</v>
      </c>
      <c r="N39" s="34">
        <v>0.31746000000000002</v>
      </c>
      <c r="O39" s="34">
        <v>0.25259999999999999</v>
      </c>
      <c r="P39" s="6" t="s">
        <v>127</v>
      </c>
      <c r="Q39" s="47" t="s">
        <v>392</v>
      </c>
    </row>
    <row r="40" spans="2:17" x14ac:dyDescent="0.3">
      <c r="B40" s="46" t="s">
        <v>444</v>
      </c>
      <c r="C40" s="6" t="s">
        <v>443</v>
      </c>
      <c r="D40" s="6">
        <v>0.185</v>
      </c>
      <c r="E40" s="6" t="s">
        <v>127</v>
      </c>
      <c r="F40" s="6" t="s">
        <v>445</v>
      </c>
      <c r="G40" s="6" t="s">
        <v>446</v>
      </c>
      <c r="H40" s="34">
        <v>0.64934999999999998</v>
      </c>
      <c r="I40" s="6">
        <v>8.2799999999999994</v>
      </c>
      <c r="J40" s="6">
        <v>8.2799999999999994</v>
      </c>
      <c r="K40" s="34">
        <v>-7.7299999999999994E-2</v>
      </c>
      <c r="L40" s="34">
        <v>-9.1200000000000003E-2</v>
      </c>
      <c r="M40" s="34">
        <v>7.0900000000000005E-2</v>
      </c>
      <c r="N40" s="34">
        <v>-0.58267999999999998</v>
      </c>
      <c r="O40" s="34">
        <v>-0.51529999999999998</v>
      </c>
      <c r="P40" s="6">
        <v>2.87E-2</v>
      </c>
      <c r="Q40" s="47" t="s">
        <v>392</v>
      </c>
    </row>
    <row r="41" spans="2:17" x14ac:dyDescent="0.3">
      <c r="B41" s="46" t="s">
        <v>448</v>
      </c>
      <c r="C41" s="6" t="s">
        <v>447</v>
      </c>
      <c r="D41" s="6">
        <v>0.24299999999999999</v>
      </c>
      <c r="E41" s="6" t="s">
        <v>127</v>
      </c>
      <c r="F41" s="6" t="s">
        <v>449</v>
      </c>
      <c r="G41" s="6" t="s">
        <v>450</v>
      </c>
      <c r="H41" s="34">
        <v>-0.39966000000000002</v>
      </c>
      <c r="I41" s="6">
        <v>1.61</v>
      </c>
      <c r="J41" s="6">
        <v>1.61</v>
      </c>
      <c r="K41" s="34">
        <v>-0.1384</v>
      </c>
      <c r="L41" s="34">
        <v>-0.18329999999999999</v>
      </c>
      <c r="M41" s="34">
        <v>0.28549999999999998</v>
      </c>
      <c r="N41" s="34">
        <v>-1.3728899999999999</v>
      </c>
      <c r="O41" s="34">
        <v>-1.2914000000000001</v>
      </c>
      <c r="P41" s="6">
        <v>0.15859999999999999</v>
      </c>
      <c r="Q41" s="47" t="s">
        <v>392</v>
      </c>
    </row>
    <row r="42" spans="2:17" x14ac:dyDescent="0.3">
      <c r="B42" s="46" t="s">
        <v>452</v>
      </c>
      <c r="C42" s="6" t="s">
        <v>451</v>
      </c>
      <c r="D42" s="6">
        <v>0.4</v>
      </c>
      <c r="E42" s="6" t="s">
        <v>127</v>
      </c>
      <c r="F42" s="6" t="s">
        <v>453</v>
      </c>
      <c r="G42" s="6" t="s">
        <v>454</v>
      </c>
      <c r="H42" s="34">
        <v>-0.71118999999999999</v>
      </c>
      <c r="I42" s="6">
        <v>1.91</v>
      </c>
      <c r="J42" s="6">
        <v>1.91</v>
      </c>
      <c r="K42" s="34">
        <v>-0.38979999999999998</v>
      </c>
      <c r="L42" s="34">
        <v>-0.19989999999999999</v>
      </c>
      <c r="M42" s="34">
        <v>-0.15870000000000001</v>
      </c>
      <c r="N42" s="34">
        <v>-5.4916499999999999</v>
      </c>
      <c r="O42" s="34">
        <v>-1.3568</v>
      </c>
      <c r="P42" s="6">
        <v>0.12839999999999999</v>
      </c>
      <c r="Q42" s="47" t="s">
        <v>392</v>
      </c>
    </row>
    <row r="43" spans="2:17" x14ac:dyDescent="0.3">
      <c r="B43" s="46" t="s">
        <v>456</v>
      </c>
      <c r="C43" s="6" t="s">
        <v>455</v>
      </c>
      <c r="D43" s="6">
        <v>2.2999999999999998</v>
      </c>
      <c r="E43" s="6">
        <v>43.82</v>
      </c>
      <c r="F43" s="6" t="s">
        <v>457</v>
      </c>
      <c r="G43" s="6" t="s">
        <v>458</v>
      </c>
      <c r="H43" s="34">
        <v>0.36925000000000002</v>
      </c>
      <c r="I43" s="6">
        <v>1.5</v>
      </c>
      <c r="J43" s="6">
        <v>1.5</v>
      </c>
      <c r="K43" s="34">
        <v>6.5699999999999995E-2</v>
      </c>
      <c r="L43" s="34">
        <v>8.9899999999999994E-2</v>
      </c>
      <c r="M43" s="34">
        <v>0.62129999999999996</v>
      </c>
      <c r="N43" s="34">
        <v>0.36179</v>
      </c>
      <c r="O43" s="34">
        <v>8.9599999999999999E-2</v>
      </c>
      <c r="P43" s="6">
        <v>0.18609999999999999</v>
      </c>
      <c r="Q43" s="47" t="s">
        <v>392</v>
      </c>
    </row>
    <row r="44" spans="2:17" x14ac:dyDescent="0.3">
      <c r="B44" s="46" t="s">
        <v>460</v>
      </c>
      <c r="C44" s="6" t="s">
        <v>459</v>
      </c>
      <c r="D44" s="6">
        <v>0.38</v>
      </c>
      <c r="E44" s="6" t="s">
        <v>127</v>
      </c>
      <c r="F44" s="6" t="s">
        <v>461</v>
      </c>
      <c r="G44" s="6" t="s">
        <v>462</v>
      </c>
      <c r="H44" s="34">
        <v>5.3240000000000003E-2</v>
      </c>
      <c r="I44" s="6">
        <v>0.68</v>
      </c>
      <c r="J44" s="6">
        <v>0.68</v>
      </c>
      <c r="K44" s="34">
        <v>-7.3999999999999996E-2</v>
      </c>
      <c r="L44" s="34">
        <v>-0.12889999999999999</v>
      </c>
      <c r="M44" s="34">
        <v>0.33410000000000001</v>
      </c>
      <c r="N44" s="34">
        <v>-0.31134000000000001</v>
      </c>
      <c r="O44" s="34">
        <v>-0.35730000000000001</v>
      </c>
      <c r="P44" s="6">
        <v>0.2054</v>
      </c>
      <c r="Q44" s="47" t="s">
        <v>392</v>
      </c>
    </row>
    <row r="45" spans="2:17" x14ac:dyDescent="0.3">
      <c r="B45" s="46" t="s">
        <v>464</v>
      </c>
      <c r="C45" s="6" t="s">
        <v>463</v>
      </c>
      <c r="D45" s="6">
        <v>5.18</v>
      </c>
      <c r="E45" s="6">
        <v>19.78</v>
      </c>
      <c r="F45" s="6" t="s">
        <v>465</v>
      </c>
      <c r="G45" s="6" t="s">
        <v>466</v>
      </c>
      <c r="H45" s="34" t="s">
        <v>127</v>
      </c>
      <c r="I45" s="6">
        <v>1.42</v>
      </c>
      <c r="J45" s="6">
        <v>1.42</v>
      </c>
      <c r="K45" s="34">
        <v>4.3900000000000002E-2</v>
      </c>
      <c r="L45" s="34">
        <v>7.8799999999999995E-2</v>
      </c>
      <c r="M45" s="34">
        <v>0.43930000000000002</v>
      </c>
      <c r="N45" s="34">
        <v>0.13929</v>
      </c>
      <c r="O45" s="34">
        <v>0.1042</v>
      </c>
      <c r="P45" s="6">
        <v>0.35630000000000001</v>
      </c>
      <c r="Q45" s="47" t="s">
        <v>392</v>
      </c>
    </row>
    <row r="46" spans="2:17" x14ac:dyDescent="0.3">
      <c r="B46" s="46" t="s">
        <v>468</v>
      </c>
      <c r="C46" s="6" t="s">
        <v>467</v>
      </c>
      <c r="D46" s="6">
        <v>2.6</v>
      </c>
      <c r="E46" s="6" t="s">
        <v>127</v>
      </c>
      <c r="F46" s="6" t="s">
        <v>469</v>
      </c>
      <c r="G46" s="6" t="s">
        <v>470</v>
      </c>
      <c r="H46" s="34">
        <v>-0.40960999999999997</v>
      </c>
      <c r="I46" s="6">
        <v>4.2300000000000004</v>
      </c>
      <c r="J46" s="6">
        <v>3.87</v>
      </c>
      <c r="K46" s="34">
        <v>-0.2465</v>
      </c>
      <c r="L46" s="34">
        <v>-0.3266</v>
      </c>
      <c r="M46" s="34">
        <v>0.15379999999999999</v>
      </c>
      <c r="N46" s="34">
        <v>-0.36277999999999999</v>
      </c>
      <c r="O46" s="34">
        <v>-0.44940000000000002</v>
      </c>
      <c r="P46" s="6">
        <v>2.5999999999999999E-3</v>
      </c>
      <c r="Q46" s="47" t="s">
        <v>392</v>
      </c>
    </row>
    <row r="47" spans="2:17" x14ac:dyDescent="0.3">
      <c r="B47" s="46" t="s">
        <v>472</v>
      </c>
      <c r="C47" s="6" t="s">
        <v>471</v>
      </c>
      <c r="D47" s="6">
        <v>0.27</v>
      </c>
      <c r="E47" s="6">
        <v>8.07</v>
      </c>
      <c r="F47" s="6" t="s">
        <v>473</v>
      </c>
      <c r="G47" s="6" t="s">
        <v>474</v>
      </c>
      <c r="H47" s="34">
        <v>0.14334</v>
      </c>
      <c r="I47" s="6">
        <v>5.1100000000000003</v>
      </c>
      <c r="J47" s="6">
        <v>5.0999999999999996</v>
      </c>
      <c r="K47" s="34">
        <v>6.6000000000000003E-2</v>
      </c>
      <c r="L47" s="34">
        <v>7.1499999999999994E-2</v>
      </c>
      <c r="M47" s="34">
        <v>0.71130000000000004</v>
      </c>
      <c r="N47" s="34">
        <v>0.32323000000000002</v>
      </c>
      <c r="O47" s="34">
        <v>0.27500000000000002</v>
      </c>
      <c r="P47" s="6">
        <v>2.6100000000000002E-2</v>
      </c>
      <c r="Q47" s="47" t="s">
        <v>392</v>
      </c>
    </row>
    <row r="48" spans="2:17" x14ac:dyDescent="0.3">
      <c r="B48" s="184" t="s">
        <v>476</v>
      </c>
      <c r="C48" s="185" t="s">
        <v>475</v>
      </c>
      <c r="D48" s="186">
        <v>4.5599999999999996</v>
      </c>
      <c r="E48" s="185" t="s">
        <v>127</v>
      </c>
      <c r="F48" s="186" t="s">
        <v>477</v>
      </c>
      <c r="G48" s="186" t="s">
        <v>567</v>
      </c>
      <c r="H48" s="187">
        <v>1</v>
      </c>
      <c r="I48" s="188">
        <v>5.04</v>
      </c>
      <c r="J48" s="185" t="s">
        <v>127</v>
      </c>
      <c r="K48" s="189" t="s">
        <v>127</v>
      </c>
      <c r="L48" s="189" t="s">
        <v>127</v>
      </c>
      <c r="M48" s="189" t="s">
        <v>127</v>
      </c>
      <c r="N48" s="187">
        <f>-26.3%</f>
        <v>-0.26300000000000001</v>
      </c>
      <c r="O48" s="187">
        <v>-0.25640000000000002</v>
      </c>
      <c r="P48" s="185" t="s">
        <v>127</v>
      </c>
      <c r="Q48" s="190"/>
    </row>
    <row r="49" spans="2:17" x14ac:dyDescent="0.3">
      <c r="B49" s="46" t="s">
        <v>479</v>
      </c>
      <c r="C49" s="6" t="s">
        <v>478</v>
      </c>
      <c r="D49" s="6">
        <v>4.99</v>
      </c>
      <c r="E49" s="6">
        <v>15.11</v>
      </c>
      <c r="F49" s="6" t="s">
        <v>480</v>
      </c>
      <c r="G49" s="6" t="s">
        <v>481</v>
      </c>
      <c r="H49" s="34" t="s">
        <v>127</v>
      </c>
      <c r="I49" s="6">
        <v>17.18</v>
      </c>
      <c r="J49" s="6">
        <v>17.11</v>
      </c>
      <c r="K49" s="34">
        <v>0.14380000000000001</v>
      </c>
      <c r="L49" s="34">
        <v>0.1525</v>
      </c>
      <c r="M49" s="34">
        <v>0.78859999999999997</v>
      </c>
      <c r="N49" s="34">
        <v>0.19864000000000001</v>
      </c>
      <c r="O49" s="34">
        <v>0.69240000000000002</v>
      </c>
      <c r="P49" s="6" t="s">
        <v>127</v>
      </c>
      <c r="Q49" s="47" t="s">
        <v>392</v>
      </c>
    </row>
    <row r="50" spans="2:17" x14ac:dyDescent="0.3">
      <c r="B50" s="46" t="s">
        <v>483</v>
      </c>
      <c r="C50" s="6" t="s">
        <v>482</v>
      </c>
      <c r="D50" s="6">
        <v>2.19</v>
      </c>
      <c r="E50" s="6">
        <v>11.18</v>
      </c>
      <c r="F50" s="6" t="s">
        <v>484</v>
      </c>
      <c r="G50" s="6" t="s">
        <v>485</v>
      </c>
      <c r="H50" s="34">
        <v>-0.22037000000000001</v>
      </c>
      <c r="I50" s="6">
        <v>7.93</v>
      </c>
      <c r="J50" s="6">
        <v>7.93</v>
      </c>
      <c r="K50" s="34">
        <v>6.9199999999999998E-2</v>
      </c>
      <c r="L50" s="34">
        <v>7.7100000000000002E-2</v>
      </c>
      <c r="M50" s="34">
        <v>0.91320000000000001</v>
      </c>
      <c r="N50" s="34">
        <v>0.67862999999999996</v>
      </c>
      <c r="O50" s="34">
        <v>0.2903</v>
      </c>
      <c r="P50" s="6" t="s">
        <v>127</v>
      </c>
      <c r="Q50" s="47" t="s">
        <v>392</v>
      </c>
    </row>
    <row r="51" spans="2:17" x14ac:dyDescent="0.3">
      <c r="B51" s="46" t="s">
        <v>487</v>
      </c>
      <c r="C51" s="6" t="s">
        <v>486</v>
      </c>
      <c r="D51" s="6">
        <v>0.24</v>
      </c>
      <c r="E51" s="6">
        <v>61.27</v>
      </c>
      <c r="F51" s="6" t="s">
        <v>488</v>
      </c>
      <c r="G51" s="6" t="s">
        <v>489</v>
      </c>
      <c r="H51" s="34">
        <v>-0.15365000000000001</v>
      </c>
      <c r="I51" s="6">
        <v>4.95</v>
      </c>
      <c r="J51" s="6">
        <v>4.95</v>
      </c>
      <c r="K51" s="34">
        <v>1.47E-2</v>
      </c>
      <c r="L51" s="34">
        <v>1.7600000000000001E-2</v>
      </c>
      <c r="M51" s="34">
        <v>0.55120000000000002</v>
      </c>
      <c r="N51" s="34">
        <v>8.6629999999999999E-2</v>
      </c>
      <c r="O51" s="34">
        <v>3.8800000000000001E-2</v>
      </c>
      <c r="P51" s="6" t="s">
        <v>127</v>
      </c>
      <c r="Q51" s="47" t="s">
        <v>392</v>
      </c>
    </row>
    <row r="52" spans="2:17" x14ac:dyDescent="0.3">
      <c r="B52" s="46" t="s">
        <v>491</v>
      </c>
      <c r="C52" s="6" t="s">
        <v>490</v>
      </c>
      <c r="D52" s="6">
        <v>0.46500000000000002</v>
      </c>
      <c r="E52" s="6">
        <v>9.89</v>
      </c>
      <c r="F52" s="6" t="s">
        <v>492</v>
      </c>
      <c r="G52" s="6" t="s">
        <v>493</v>
      </c>
      <c r="H52" s="34">
        <v>-0.12753999999999999</v>
      </c>
      <c r="I52" s="6">
        <v>13.73</v>
      </c>
      <c r="J52" s="6">
        <v>13.71</v>
      </c>
      <c r="K52" s="34">
        <v>6.7500000000000004E-2</v>
      </c>
      <c r="L52" s="34">
        <v>7.3499999999999996E-2</v>
      </c>
      <c r="M52" s="34">
        <v>0.60350000000000004</v>
      </c>
      <c r="N52" s="34">
        <v>0.37508999999999998</v>
      </c>
      <c r="O52" s="34">
        <v>0.39400000000000002</v>
      </c>
      <c r="P52" s="6">
        <v>0</v>
      </c>
      <c r="Q52" s="47" t="s">
        <v>392</v>
      </c>
    </row>
    <row r="53" spans="2:17" x14ac:dyDescent="0.3">
      <c r="B53" s="46" t="s">
        <v>495</v>
      </c>
      <c r="C53" s="6" t="s">
        <v>494</v>
      </c>
      <c r="D53" s="6">
        <v>3.11</v>
      </c>
      <c r="E53" s="6">
        <v>11.09</v>
      </c>
      <c r="F53" s="6" t="s">
        <v>496</v>
      </c>
      <c r="G53" s="6" t="s">
        <v>497</v>
      </c>
      <c r="H53" s="34">
        <v>1.7146300000000001</v>
      </c>
      <c r="I53" s="6">
        <v>1.54</v>
      </c>
      <c r="J53" s="6">
        <v>1.35</v>
      </c>
      <c r="K53" s="34">
        <v>3.1399999999999997E-2</v>
      </c>
      <c r="L53" s="34">
        <v>6.3500000000000001E-2</v>
      </c>
      <c r="M53" s="34">
        <v>0.1197</v>
      </c>
      <c r="N53" s="34">
        <v>3.6549999999999999E-2</v>
      </c>
      <c r="O53" s="34">
        <v>2.5999999999999999E-2</v>
      </c>
      <c r="P53" s="6">
        <v>0.51980000000000004</v>
      </c>
      <c r="Q53" s="47" t="s">
        <v>392</v>
      </c>
    </row>
    <row r="54" spans="2:17" x14ac:dyDescent="0.3">
      <c r="B54" s="46" t="s">
        <v>499</v>
      </c>
      <c r="C54" s="6" t="s">
        <v>498</v>
      </c>
      <c r="D54" s="6">
        <v>0.9</v>
      </c>
      <c r="E54" s="6" t="s">
        <v>127</v>
      </c>
      <c r="F54" s="6" t="s">
        <v>500</v>
      </c>
      <c r="G54" s="6" t="s">
        <v>127</v>
      </c>
      <c r="H54" s="34" t="s">
        <v>127</v>
      </c>
      <c r="I54" s="6" t="s">
        <v>127</v>
      </c>
      <c r="J54" s="6" t="s">
        <v>127</v>
      </c>
      <c r="K54" s="34" t="s">
        <v>127</v>
      </c>
      <c r="L54" s="34" t="s">
        <v>127</v>
      </c>
      <c r="M54" s="34" t="s">
        <v>127</v>
      </c>
      <c r="N54" s="34" t="s">
        <v>127</v>
      </c>
      <c r="O54" s="34" t="s">
        <v>127</v>
      </c>
      <c r="P54" s="6" t="s">
        <v>127</v>
      </c>
      <c r="Q54" s="47"/>
    </row>
    <row r="55" spans="2:17" x14ac:dyDescent="0.3">
      <c r="B55" s="46" t="s">
        <v>502</v>
      </c>
      <c r="C55" s="6" t="s">
        <v>501</v>
      </c>
      <c r="D55" s="6">
        <v>61.35</v>
      </c>
      <c r="E55" s="6" t="s">
        <v>127</v>
      </c>
      <c r="F55" s="6" t="s">
        <v>503</v>
      </c>
      <c r="G55" s="6" t="s">
        <v>504</v>
      </c>
      <c r="H55" s="34" t="s">
        <v>127</v>
      </c>
      <c r="I55" s="6">
        <v>2.2999999999999998</v>
      </c>
      <c r="J55" s="6">
        <v>2.29</v>
      </c>
      <c r="K55" s="34">
        <v>-0.95699999999999996</v>
      </c>
      <c r="L55" s="34">
        <v>-1.3349</v>
      </c>
      <c r="M55" s="34">
        <v>0.2316</v>
      </c>
      <c r="N55" s="34">
        <v>-0.16996</v>
      </c>
      <c r="O55" s="34">
        <v>-1.7704</v>
      </c>
      <c r="P55" s="6">
        <v>2.6200000000000001E-2</v>
      </c>
      <c r="Q55" s="47" t="s">
        <v>392</v>
      </c>
    </row>
    <row r="56" spans="2:17" x14ac:dyDescent="0.3">
      <c r="B56" s="46" t="s">
        <v>506</v>
      </c>
      <c r="C56" s="6" t="s">
        <v>505</v>
      </c>
      <c r="D56" s="6">
        <v>2.64</v>
      </c>
      <c r="E56" s="6" t="s">
        <v>127</v>
      </c>
      <c r="F56" s="6" t="s">
        <v>507</v>
      </c>
      <c r="G56" s="6" t="s">
        <v>508</v>
      </c>
      <c r="H56" s="34">
        <v>-2.5659999999999999E-2</v>
      </c>
      <c r="I56" s="6">
        <v>4.0999999999999996</v>
      </c>
      <c r="J56" s="6">
        <v>4.0999999999999996</v>
      </c>
      <c r="K56" s="34">
        <v>-4.9200000000000001E-2</v>
      </c>
      <c r="L56" s="34">
        <v>-5.7099999999999998E-2</v>
      </c>
      <c r="M56" s="34">
        <v>0.80289999999999995</v>
      </c>
      <c r="N56" s="34">
        <v>-0.16578000000000001</v>
      </c>
      <c r="O56" s="34">
        <v>-0.1643</v>
      </c>
      <c r="P56" s="6" t="s">
        <v>127</v>
      </c>
      <c r="Q56" s="47" t="s">
        <v>392</v>
      </c>
    </row>
    <row r="57" spans="2:17" x14ac:dyDescent="0.3">
      <c r="B57" s="46" t="s">
        <v>510</v>
      </c>
      <c r="C57" s="6" t="s">
        <v>509</v>
      </c>
      <c r="D57" s="6">
        <v>1.46</v>
      </c>
      <c r="E57" s="6">
        <v>13.76</v>
      </c>
      <c r="F57" s="6" t="s">
        <v>511</v>
      </c>
      <c r="G57" s="6" t="s">
        <v>512</v>
      </c>
      <c r="H57" s="34" t="s">
        <v>127</v>
      </c>
      <c r="I57" s="6">
        <v>5.08</v>
      </c>
      <c r="J57" s="6">
        <v>5.08</v>
      </c>
      <c r="K57" s="34">
        <v>9.5899999999999999E-2</v>
      </c>
      <c r="L57" s="34">
        <v>0.11650000000000001</v>
      </c>
      <c r="M57" s="34">
        <v>0.59089999999999998</v>
      </c>
      <c r="N57" s="34">
        <v>0.15468999999999999</v>
      </c>
      <c r="O57" s="34">
        <v>0.14330000000000001</v>
      </c>
      <c r="P57" s="6" t="s">
        <v>127</v>
      </c>
      <c r="Q57" s="47" t="s">
        <v>392</v>
      </c>
    </row>
    <row r="58" spans="2:17" x14ac:dyDescent="0.3">
      <c r="B58" s="46" t="s">
        <v>514</v>
      </c>
      <c r="C58" s="6" t="s">
        <v>513</v>
      </c>
      <c r="D58" s="6">
        <v>0.74</v>
      </c>
      <c r="E58" s="6" t="s">
        <v>127</v>
      </c>
      <c r="F58" s="6" t="s">
        <v>515</v>
      </c>
      <c r="G58" s="6" t="s">
        <v>516</v>
      </c>
      <c r="H58" s="34">
        <v>-0.13677</v>
      </c>
      <c r="I58" s="6">
        <v>1.76</v>
      </c>
      <c r="J58" s="6">
        <v>1.76</v>
      </c>
      <c r="K58" s="34">
        <v>-0.4919</v>
      </c>
      <c r="L58" s="34">
        <v>-0.64659999999999995</v>
      </c>
      <c r="M58" s="34">
        <v>0.36559999999999998</v>
      </c>
      <c r="N58" s="34">
        <v>-1.5224</v>
      </c>
      <c r="O58" s="34">
        <v>-1.8143</v>
      </c>
      <c r="P58" s="6">
        <v>7.2999999999999995E-2</v>
      </c>
      <c r="Q58" s="47" t="s">
        <v>392</v>
      </c>
    </row>
    <row r="59" spans="2:17" x14ac:dyDescent="0.3">
      <c r="B59" s="46" t="s">
        <v>518</v>
      </c>
      <c r="C59" s="6" t="s">
        <v>517</v>
      </c>
      <c r="D59" s="6">
        <v>0.24</v>
      </c>
      <c r="E59" s="6">
        <v>5.31</v>
      </c>
      <c r="F59" s="6" t="s">
        <v>519</v>
      </c>
      <c r="G59" s="6" t="s">
        <v>520</v>
      </c>
      <c r="H59" s="34">
        <v>0.76698</v>
      </c>
      <c r="I59" s="6">
        <v>3.87</v>
      </c>
      <c r="J59" s="6">
        <v>3.61</v>
      </c>
      <c r="K59" s="34">
        <v>0.1958</v>
      </c>
      <c r="L59" s="34">
        <v>0.25209999999999999</v>
      </c>
      <c r="M59" s="34">
        <v>0.51870000000000005</v>
      </c>
      <c r="N59" s="34">
        <v>0.29335</v>
      </c>
      <c r="O59" s="34">
        <v>0.23050000000000001</v>
      </c>
      <c r="P59" s="6">
        <v>5.8099999999999999E-2</v>
      </c>
      <c r="Q59" s="47" t="s">
        <v>521</v>
      </c>
    </row>
    <row r="60" spans="2:17" x14ac:dyDescent="0.3">
      <c r="B60" s="46" t="s">
        <v>523</v>
      </c>
      <c r="C60" s="6" t="s">
        <v>522</v>
      </c>
      <c r="D60" s="6">
        <v>0.47</v>
      </c>
      <c r="E60" s="6" t="s">
        <v>127</v>
      </c>
      <c r="F60" s="6" t="s">
        <v>524</v>
      </c>
      <c r="G60" s="6" t="s">
        <v>525</v>
      </c>
      <c r="H60" s="34">
        <v>2.2929499999999998</v>
      </c>
      <c r="I60" s="6">
        <v>0.98</v>
      </c>
      <c r="J60" s="6">
        <v>0.98</v>
      </c>
      <c r="K60" s="34">
        <v>-6.6100000000000006E-2</v>
      </c>
      <c r="L60" s="34">
        <v>-0.13289999999999999</v>
      </c>
      <c r="M60" s="34">
        <v>0.33750000000000002</v>
      </c>
      <c r="N60" s="34">
        <v>-1.30491</v>
      </c>
      <c r="O60" s="34">
        <v>-0.73540000000000005</v>
      </c>
      <c r="P60" s="6" t="s">
        <v>127</v>
      </c>
      <c r="Q60" s="47" t="s">
        <v>392</v>
      </c>
    </row>
    <row r="61" spans="2:17" x14ac:dyDescent="0.3">
      <c r="B61" s="46" t="s">
        <v>527</v>
      </c>
      <c r="C61" s="6" t="s">
        <v>526</v>
      </c>
      <c r="D61" s="6">
        <v>8.8999999999999996E-2</v>
      </c>
      <c r="E61" s="6" t="s">
        <v>127</v>
      </c>
      <c r="F61" s="6" t="s">
        <v>528</v>
      </c>
      <c r="G61" s="6" t="s">
        <v>529</v>
      </c>
      <c r="H61" s="34">
        <v>-4.6149999999999997E-2</v>
      </c>
      <c r="I61" s="6">
        <v>3.06</v>
      </c>
      <c r="J61" s="6">
        <v>3.05</v>
      </c>
      <c r="K61" s="34">
        <v>-0.1706</v>
      </c>
      <c r="L61" s="34">
        <v>-0.39510000000000001</v>
      </c>
      <c r="M61" s="34">
        <v>0.3266</v>
      </c>
      <c r="N61" s="34">
        <v>-0.29150999999999999</v>
      </c>
      <c r="O61" s="34">
        <v>-0.253</v>
      </c>
      <c r="P61" s="6">
        <v>0.70009999999999994</v>
      </c>
      <c r="Q61" s="47" t="s">
        <v>530</v>
      </c>
    </row>
    <row r="62" spans="2:17" x14ac:dyDescent="0.3">
      <c r="B62" s="46" t="s">
        <v>532</v>
      </c>
      <c r="C62" s="6" t="s">
        <v>531</v>
      </c>
      <c r="D62" s="6">
        <v>0.13</v>
      </c>
      <c r="E62" s="6" t="s">
        <v>127</v>
      </c>
      <c r="F62" s="6" t="s">
        <v>533</v>
      </c>
      <c r="G62" s="6" t="s">
        <v>534</v>
      </c>
      <c r="H62" s="34">
        <v>-0.16281999999999999</v>
      </c>
      <c r="I62" s="6">
        <v>3.2</v>
      </c>
      <c r="J62" s="6">
        <v>3.2</v>
      </c>
      <c r="K62" s="34">
        <v>-0.12</v>
      </c>
      <c r="L62" s="34">
        <v>-0.15690000000000001</v>
      </c>
      <c r="M62" s="34">
        <v>0.83089999999999997</v>
      </c>
      <c r="N62" s="34">
        <v>-0.78559999999999997</v>
      </c>
      <c r="O62" s="34">
        <v>-0.72199999999999998</v>
      </c>
      <c r="P62" s="6">
        <v>0.1457</v>
      </c>
      <c r="Q62" s="47" t="s">
        <v>392</v>
      </c>
    </row>
    <row r="63" spans="2:17" x14ac:dyDescent="0.3">
      <c r="B63" s="46" t="s">
        <v>536</v>
      </c>
      <c r="C63" s="6" t="s">
        <v>535</v>
      </c>
      <c r="D63" s="6">
        <v>0.35</v>
      </c>
      <c r="E63" s="6">
        <v>23.18</v>
      </c>
      <c r="F63" s="6" t="s">
        <v>537</v>
      </c>
      <c r="G63" s="6" t="s">
        <v>538</v>
      </c>
      <c r="H63" s="34">
        <v>0.54613</v>
      </c>
      <c r="I63" s="6">
        <v>1.1000000000000001</v>
      </c>
      <c r="J63" s="6">
        <v>1.1000000000000001</v>
      </c>
      <c r="K63" s="34">
        <v>4.1399999999999999E-2</v>
      </c>
      <c r="L63" s="34">
        <v>0.1007</v>
      </c>
      <c r="M63" s="34">
        <v>0.65600000000000003</v>
      </c>
      <c r="N63" s="34">
        <v>0.33189000000000002</v>
      </c>
      <c r="O63" s="34">
        <v>0.1951</v>
      </c>
      <c r="P63" s="6">
        <v>0.3856</v>
      </c>
      <c r="Q63" s="47" t="s">
        <v>521</v>
      </c>
    </row>
    <row r="64" spans="2:17" x14ac:dyDescent="0.3">
      <c r="B64" s="46" t="s">
        <v>540</v>
      </c>
      <c r="C64" s="6" t="s">
        <v>539</v>
      </c>
      <c r="D64" s="6">
        <v>0.39</v>
      </c>
      <c r="E64" s="6" t="s">
        <v>127</v>
      </c>
      <c r="F64" s="6" t="s">
        <v>541</v>
      </c>
      <c r="G64" s="6" t="s">
        <v>542</v>
      </c>
      <c r="H64" s="34">
        <v>0.18579000000000001</v>
      </c>
      <c r="I64" s="6">
        <v>2.2200000000000002</v>
      </c>
      <c r="J64" s="6">
        <v>2.21</v>
      </c>
      <c r="K64" s="34">
        <v>-0.17879999999999999</v>
      </c>
      <c r="L64" s="34">
        <v>-0.24099999999999999</v>
      </c>
      <c r="M64" s="34">
        <v>0.61660000000000004</v>
      </c>
      <c r="N64" s="34">
        <v>-2.42733</v>
      </c>
      <c r="O64" s="34">
        <v>-2.3086000000000002</v>
      </c>
      <c r="P64" s="6">
        <v>0.28960000000000002</v>
      </c>
      <c r="Q64" s="47" t="s">
        <v>392</v>
      </c>
    </row>
    <row r="65" spans="2:17" x14ac:dyDescent="0.3">
      <c r="B65" s="46" t="s">
        <v>544</v>
      </c>
      <c r="C65" s="6" t="s">
        <v>543</v>
      </c>
      <c r="D65" s="6">
        <v>0.8</v>
      </c>
      <c r="E65" s="6" t="s">
        <v>127</v>
      </c>
      <c r="F65" s="6" t="s">
        <v>545</v>
      </c>
      <c r="G65" s="6" t="s">
        <v>546</v>
      </c>
      <c r="H65" s="34">
        <v>-0.12121</v>
      </c>
      <c r="I65" s="6">
        <v>1.94</v>
      </c>
      <c r="J65" s="6">
        <v>1.94</v>
      </c>
      <c r="K65" s="34">
        <v>-0.18629999999999999</v>
      </c>
      <c r="L65" s="34">
        <v>-0.30959999999999999</v>
      </c>
      <c r="M65" s="34">
        <v>0.37440000000000001</v>
      </c>
      <c r="N65" s="34">
        <v>-0.19783000000000001</v>
      </c>
      <c r="O65" s="34">
        <v>-0.36449999999999999</v>
      </c>
      <c r="P65" s="6">
        <v>0.36940000000000001</v>
      </c>
      <c r="Q65" s="47" t="s">
        <v>392</v>
      </c>
    </row>
    <row r="66" spans="2:17" x14ac:dyDescent="0.3">
      <c r="B66" s="46" t="s">
        <v>548</v>
      </c>
      <c r="C66" s="6" t="s">
        <v>547</v>
      </c>
      <c r="D66" s="6">
        <v>0.16700000000000001</v>
      </c>
      <c r="E66" s="6">
        <v>19.38</v>
      </c>
      <c r="F66" s="6" t="s">
        <v>549</v>
      </c>
      <c r="G66" s="6" t="s">
        <v>550</v>
      </c>
      <c r="H66" s="34">
        <v>-5.1549999999999999E-2</v>
      </c>
      <c r="I66" s="6">
        <v>1.1599999999999999</v>
      </c>
      <c r="J66" s="6">
        <v>0.83</v>
      </c>
      <c r="K66" s="34">
        <v>5.4300000000000001E-2</v>
      </c>
      <c r="L66" s="34">
        <v>9.1899999999999996E-2</v>
      </c>
      <c r="M66" s="34">
        <v>0.52480000000000004</v>
      </c>
      <c r="N66" s="34">
        <v>9.0639999999999998E-2</v>
      </c>
      <c r="O66" s="34">
        <v>7.3300000000000004E-2</v>
      </c>
      <c r="P66" s="6">
        <v>0.36780000000000002</v>
      </c>
      <c r="Q66" s="47" t="s">
        <v>392</v>
      </c>
    </row>
    <row r="67" spans="2:17" x14ac:dyDescent="0.3">
      <c r="B67" s="46" t="s">
        <v>552</v>
      </c>
      <c r="C67" s="6" t="s">
        <v>551</v>
      </c>
      <c r="D67" s="6">
        <v>0.34499999999999997</v>
      </c>
      <c r="E67" s="6" t="s">
        <v>127</v>
      </c>
      <c r="F67" s="6" t="s">
        <v>553</v>
      </c>
      <c r="G67" s="6" t="s">
        <v>554</v>
      </c>
      <c r="H67" s="34">
        <v>0.32414999999999999</v>
      </c>
      <c r="I67" s="6">
        <v>2.78</v>
      </c>
      <c r="J67" s="6">
        <v>2.78</v>
      </c>
      <c r="K67" s="34">
        <v>-0.35539999999999999</v>
      </c>
      <c r="L67" s="34">
        <v>-0.5151</v>
      </c>
      <c r="M67" s="34">
        <v>0.20449999999999999</v>
      </c>
      <c r="N67" s="34">
        <v>-0.23361000000000001</v>
      </c>
      <c r="O67" s="34">
        <v>-0.23080000000000001</v>
      </c>
      <c r="P67" s="6" t="s">
        <v>127</v>
      </c>
      <c r="Q67" s="47" t="s">
        <v>392</v>
      </c>
    </row>
    <row r="68" spans="2:17" x14ac:dyDescent="0.3">
      <c r="B68" s="46" t="s">
        <v>556</v>
      </c>
      <c r="C68" s="6" t="s">
        <v>555</v>
      </c>
      <c r="D68" s="6">
        <v>0.46</v>
      </c>
      <c r="E68" s="6" t="s">
        <v>127</v>
      </c>
      <c r="F68" s="6" t="s">
        <v>557</v>
      </c>
      <c r="G68" s="6" t="s">
        <v>558</v>
      </c>
      <c r="H68" s="34">
        <v>0.74382000000000004</v>
      </c>
      <c r="I68" s="6">
        <v>1.71</v>
      </c>
      <c r="J68" s="6">
        <v>1.71</v>
      </c>
      <c r="K68" s="34">
        <v>-0.2457</v>
      </c>
      <c r="L68" s="34">
        <v>-0.31769999999999998</v>
      </c>
      <c r="M68" s="34">
        <v>0.8548</v>
      </c>
      <c r="N68" s="34">
        <v>-1.78566</v>
      </c>
      <c r="O68" s="34">
        <v>-1.9076</v>
      </c>
      <c r="P68" s="6">
        <v>0.14940000000000001</v>
      </c>
      <c r="Q68" s="47" t="s">
        <v>521</v>
      </c>
    </row>
    <row r="69" spans="2:17" x14ac:dyDescent="0.3">
      <c r="B69" s="46" t="s">
        <v>560</v>
      </c>
      <c r="C69" s="6" t="s">
        <v>559</v>
      </c>
      <c r="D69" s="6">
        <v>0.47</v>
      </c>
      <c r="E69" s="6" t="s">
        <v>127</v>
      </c>
      <c r="F69" s="6" t="s">
        <v>561</v>
      </c>
      <c r="G69" s="6" t="s">
        <v>562</v>
      </c>
      <c r="H69" s="34">
        <v>0.22359000000000001</v>
      </c>
      <c r="I69" s="6">
        <v>2.2400000000000002</v>
      </c>
      <c r="J69" s="6">
        <v>2.2400000000000002</v>
      </c>
      <c r="K69" s="34">
        <v>-0.14849999999999999</v>
      </c>
      <c r="L69" s="34">
        <v>-0.27310000000000001</v>
      </c>
      <c r="M69" s="34">
        <v>0.3921</v>
      </c>
      <c r="N69" s="34">
        <v>-0.31472</v>
      </c>
      <c r="O69" s="34">
        <v>-0.60360000000000003</v>
      </c>
      <c r="P69" s="6">
        <v>0.33910000000000001</v>
      </c>
      <c r="Q69" s="47" t="s">
        <v>521</v>
      </c>
    </row>
    <row r="70" spans="2:17" x14ac:dyDescent="0.3">
      <c r="B70" s="53" t="s">
        <v>564</v>
      </c>
      <c r="C70" s="54" t="s">
        <v>563</v>
      </c>
      <c r="D70" s="54">
        <v>5.9</v>
      </c>
      <c r="E70" s="54">
        <v>18.45</v>
      </c>
      <c r="F70" s="54" t="s">
        <v>565</v>
      </c>
      <c r="G70" s="54" t="s">
        <v>566</v>
      </c>
      <c r="H70" s="174">
        <v>0.90049999999999997</v>
      </c>
      <c r="I70" s="54">
        <v>16.61</v>
      </c>
      <c r="J70" s="54">
        <v>16.61</v>
      </c>
      <c r="K70" s="174">
        <v>0.4214</v>
      </c>
      <c r="L70" s="174">
        <v>0.46760000000000002</v>
      </c>
      <c r="M70" s="174">
        <v>0.89700000000000002</v>
      </c>
      <c r="N70" s="174">
        <v>0.74392000000000003</v>
      </c>
      <c r="O70" s="174">
        <v>0.55920000000000003</v>
      </c>
      <c r="P70" s="54" t="s">
        <v>127</v>
      </c>
      <c r="Q70" s="128" t="s">
        <v>392</v>
      </c>
    </row>
  </sheetData>
  <autoFilter ref="B25:Q70" xr:uid="{A4980615-40F5-4BD1-BACF-64463495F6D3}"/>
  <mergeCells count="8">
    <mergeCell ref="B2:Q2"/>
    <mergeCell ref="I24:J24"/>
    <mergeCell ref="K24:L24"/>
    <mergeCell ref="M24:O24"/>
    <mergeCell ref="B22:Q22"/>
    <mergeCell ref="I4:J4"/>
    <mergeCell ref="K4:L4"/>
    <mergeCell ref="M4:O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3E3E8-D866-4138-93D5-05BA26D59A14}">
  <dimension ref="B2:P37"/>
  <sheetViews>
    <sheetView workbookViewId="0">
      <selection activeCell="F22" sqref="F22"/>
    </sheetView>
  </sheetViews>
  <sheetFormatPr defaultRowHeight="14.4" x14ac:dyDescent="0.3"/>
  <cols>
    <col min="2" max="2" width="23.109375" bestFit="1" customWidth="1"/>
    <col min="5" max="6" width="11.5546875" bestFit="1" customWidth="1"/>
    <col min="7" max="10" width="11.33203125" bestFit="1" customWidth="1"/>
    <col min="15" max="15" width="11.5546875" bestFit="1" customWidth="1"/>
  </cols>
  <sheetData>
    <row r="2" spans="2:10" x14ac:dyDescent="0.3">
      <c r="B2" s="213"/>
      <c r="C2" s="172"/>
      <c r="D2" s="357" t="s">
        <v>232</v>
      </c>
      <c r="E2" s="357"/>
      <c r="F2" s="357"/>
      <c r="G2" s="359" t="s">
        <v>233</v>
      </c>
      <c r="H2" s="359"/>
      <c r="I2" s="359"/>
      <c r="J2" s="360"/>
    </row>
    <row r="3" spans="2:10" ht="15" thickBot="1" x14ac:dyDescent="0.35">
      <c r="B3" s="48" t="s">
        <v>293</v>
      </c>
      <c r="C3" s="27"/>
      <c r="D3" s="26" t="s">
        <v>234</v>
      </c>
      <c r="E3" s="26" t="s">
        <v>235</v>
      </c>
      <c r="F3" s="26" t="s">
        <v>236</v>
      </c>
      <c r="G3" s="26" t="s">
        <v>114</v>
      </c>
      <c r="H3" s="26" t="s">
        <v>115</v>
      </c>
      <c r="I3" s="26" t="s">
        <v>116</v>
      </c>
      <c r="J3" s="49" t="s">
        <v>117</v>
      </c>
    </row>
    <row r="4" spans="2:10" x14ac:dyDescent="0.3">
      <c r="B4" s="46"/>
      <c r="C4" s="6"/>
      <c r="D4" s="6"/>
      <c r="E4" s="6"/>
      <c r="F4" s="6"/>
      <c r="G4" s="6"/>
      <c r="H4" s="6"/>
      <c r="I4" s="6"/>
      <c r="J4" s="47"/>
    </row>
    <row r="5" spans="2:10" x14ac:dyDescent="0.3">
      <c r="B5" s="275" t="s">
        <v>623</v>
      </c>
      <c r="C5" s="6"/>
      <c r="D5" s="6"/>
      <c r="E5" s="6"/>
      <c r="F5" s="6"/>
      <c r="G5" s="6"/>
      <c r="H5" s="6"/>
      <c r="I5" s="6"/>
      <c r="J5" s="47"/>
    </row>
    <row r="6" spans="2:10" x14ac:dyDescent="0.3">
      <c r="B6" s="270" t="s">
        <v>624</v>
      </c>
      <c r="C6" s="6"/>
      <c r="D6" s="6"/>
      <c r="E6" s="6"/>
      <c r="F6" s="6"/>
      <c r="G6" s="51">
        <f>'Income Statement'!G29</f>
        <v>142523.41327337499</v>
      </c>
      <c r="H6" s="51">
        <f>'Income Statement'!H29</f>
        <v>257007.20806540432</v>
      </c>
      <c r="I6" s="51">
        <f>'Income Statement'!I29</f>
        <v>433254.84262900095</v>
      </c>
      <c r="J6" s="52">
        <f>'Income Statement'!J29</f>
        <v>561046.29027622344</v>
      </c>
    </row>
    <row r="7" spans="2:10" x14ac:dyDescent="0.3">
      <c r="B7" s="270" t="s">
        <v>625</v>
      </c>
      <c r="C7" s="6"/>
      <c r="D7" s="6"/>
      <c r="E7" s="6"/>
      <c r="F7" s="6"/>
      <c r="G7" s="51">
        <f>'PPE Schedule'!G64</f>
        <v>5101.4672</v>
      </c>
      <c r="H7" s="51">
        <f>'PPE Schedule'!H64</f>
        <v>10585.582468633627</v>
      </c>
      <c r="I7" s="51">
        <f>'PPE Schedule'!I64</f>
        <v>15905.945764500217</v>
      </c>
      <c r="J7" s="52">
        <f>'PPE Schedule'!J64</f>
        <v>24101.704259140526</v>
      </c>
    </row>
    <row r="8" spans="2:10" x14ac:dyDescent="0.3">
      <c r="B8" s="270" t="s">
        <v>626</v>
      </c>
      <c r="C8" s="6"/>
      <c r="D8" s="6"/>
      <c r="E8" s="6"/>
      <c r="F8" s="6"/>
      <c r="G8" s="51">
        <f>OWC!G20</f>
        <v>-186986.54360429282</v>
      </c>
      <c r="H8" s="51">
        <f>OWC!H20</f>
        <v>-96706.448568780994</v>
      </c>
      <c r="I8" s="51">
        <f>OWC!I20</f>
        <v>-144995.49112591561</v>
      </c>
      <c r="J8" s="52">
        <f>OWC!J20</f>
        <v>-108776.22723199282</v>
      </c>
    </row>
    <row r="9" spans="2:10" x14ac:dyDescent="0.3">
      <c r="B9" s="270" t="s">
        <v>627</v>
      </c>
      <c r="C9" s="6"/>
      <c r="D9" s="6"/>
      <c r="E9" s="6"/>
      <c r="F9" s="6"/>
      <c r="G9" s="51">
        <f>'PPE Schedule'!G8</f>
        <v>14189.808830168564</v>
      </c>
      <c r="H9" s="51">
        <f>'PPE Schedule'!H8</f>
        <v>21128.665869655706</v>
      </c>
      <c r="I9" s="51">
        <f>'PPE Schedule'!I8</f>
        <v>31532.34627755922</v>
      </c>
      <c r="J9" s="52">
        <f>'PPE Schedule'!J8</f>
        <v>39337.231073020805</v>
      </c>
    </row>
    <row r="10" spans="2:10" x14ac:dyDescent="0.3">
      <c r="B10" s="270" t="s">
        <v>628</v>
      </c>
      <c r="C10" s="6"/>
      <c r="D10" s="6"/>
      <c r="E10" s="6"/>
      <c r="F10" s="6"/>
      <c r="G10" s="51">
        <f>'Income Statement'!G22</f>
        <v>-16385.761942072553</v>
      </c>
      <c r="H10" s="51">
        <f>'Income Statement'!H22</f>
        <v>-29997.126161751585</v>
      </c>
      <c r="I10" s="51">
        <f>'Income Statement'!I22</f>
        <v>-50979.879270671488</v>
      </c>
      <c r="J10" s="52">
        <f>'Income Statement'!J22</f>
        <v>-132334.89053879306</v>
      </c>
    </row>
    <row r="11" spans="2:10" x14ac:dyDescent="0.3">
      <c r="B11" s="275" t="s">
        <v>629</v>
      </c>
      <c r="C11" s="6"/>
      <c r="D11" s="6"/>
      <c r="E11" s="6"/>
      <c r="F11" s="6"/>
      <c r="G11" s="116">
        <f>SUM(G6:G10)</f>
        <v>-41557.616242821809</v>
      </c>
      <c r="H11" s="116">
        <f t="shared" ref="H11:J11" si="0">SUM(H6:H10)</f>
        <v>162017.88167316112</v>
      </c>
      <c r="I11" s="116">
        <f t="shared" si="0"/>
        <v>284717.7642744733</v>
      </c>
      <c r="J11" s="117">
        <f t="shared" si="0"/>
        <v>383374.10783759889</v>
      </c>
    </row>
    <row r="12" spans="2:10" x14ac:dyDescent="0.3">
      <c r="B12" s="46"/>
      <c r="C12" s="6"/>
      <c r="D12" s="6"/>
      <c r="E12" s="6"/>
      <c r="F12" s="6"/>
      <c r="G12" s="6"/>
      <c r="H12" s="6"/>
      <c r="I12" s="6"/>
      <c r="J12" s="47"/>
    </row>
    <row r="13" spans="2:10" x14ac:dyDescent="0.3">
      <c r="B13" s="275" t="s">
        <v>630</v>
      </c>
      <c r="C13" s="6"/>
      <c r="D13" s="6"/>
      <c r="E13" s="6"/>
      <c r="F13" s="6"/>
      <c r="G13" s="6"/>
      <c r="H13" s="6"/>
      <c r="I13" s="6"/>
      <c r="J13" s="47"/>
    </row>
    <row r="14" spans="2:10" ht="15" thickBot="1" x14ac:dyDescent="0.35">
      <c r="B14" s="270" t="s">
        <v>631</v>
      </c>
      <c r="C14" s="6"/>
      <c r="D14" s="6"/>
      <c r="E14" s="6"/>
      <c r="F14" s="6"/>
      <c r="G14" s="6">
        <v>1</v>
      </c>
      <c r="H14" s="6">
        <v>2</v>
      </c>
      <c r="I14" s="6">
        <v>3</v>
      </c>
      <c r="J14" s="47">
        <v>4</v>
      </c>
    </row>
    <row r="15" spans="2:10" ht="15" thickBot="1" x14ac:dyDescent="0.35">
      <c r="B15" s="270" t="s">
        <v>632</v>
      </c>
      <c r="C15" s="6"/>
      <c r="D15" s="6"/>
      <c r="E15" s="6"/>
      <c r="F15" s="262">
        <f>L26</f>
        <v>9.9280000000000007E-2</v>
      </c>
      <c r="G15" s="116">
        <f>G11/(1+$F$15)^G14</f>
        <v>-37804.395825287284</v>
      </c>
      <c r="H15" s="116">
        <f t="shared" ref="H15:J15" si="1">H11/(1+$F$15)^H14</f>
        <v>134074.53407512204</v>
      </c>
      <c r="I15" s="116">
        <f t="shared" si="1"/>
        <v>214333.2675569889</v>
      </c>
      <c r="J15" s="117">
        <f t="shared" si="1"/>
        <v>262536.3674596498</v>
      </c>
    </row>
    <row r="16" spans="2:10" x14ac:dyDescent="0.3">
      <c r="B16" s="292" t="s">
        <v>633</v>
      </c>
      <c r="C16" s="54"/>
      <c r="D16" s="54"/>
      <c r="E16" s="54"/>
      <c r="F16" s="54"/>
      <c r="G16" s="307">
        <f>SUM(G15:J15)</f>
        <v>573139.77326647344</v>
      </c>
      <c r="H16" s="54"/>
      <c r="I16" s="54"/>
      <c r="J16" s="128"/>
    </row>
    <row r="18" spans="2:16" x14ac:dyDescent="0.3">
      <c r="B18" s="260" t="s">
        <v>634</v>
      </c>
      <c r="C18" s="261"/>
      <c r="D18" s="261"/>
      <c r="E18" s="261"/>
      <c r="F18" s="263"/>
      <c r="G18" s="264"/>
      <c r="H18" s="264"/>
      <c r="I18" s="264"/>
      <c r="J18" s="264"/>
      <c r="K18" s="264"/>
      <c r="N18" s="261"/>
      <c r="O18" s="261"/>
    </row>
    <row r="19" spans="2:16" x14ac:dyDescent="0.3">
      <c r="B19" s="265" t="s">
        <v>635</v>
      </c>
      <c r="C19" s="266"/>
      <c r="D19" s="266"/>
      <c r="E19" s="266"/>
      <c r="F19" s="267"/>
      <c r="G19" s="264"/>
      <c r="H19" s="264"/>
      <c r="I19" s="264"/>
      <c r="J19" s="265" t="s">
        <v>636</v>
      </c>
      <c r="K19" s="268"/>
      <c r="L19" s="268"/>
      <c r="M19" s="268"/>
      <c r="N19" s="268"/>
      <c r="O19" s="269"/>
    </row>
    <row r="20" spans="2:16" ht="15" thickBot="1" x14ac:dyDescent="0.35">
      <c r="B20" s="270"/>
      <c r="C20" s="271" t="s">
        <v>637</v>
      </c>
      <c r="D20" s="261"/>
      <c r="E20" s="261"/>
      <c r="F20" s="272">
        <f>'Income Statement'!F29+'PPE Schedule'!F64</f>
        <v>-290225</v>
      </c>
      <c r="G20" s="261"/>
      <c r="H20" s="264"/>
      <c r="I20" s="261"/>
      <c r="J20" s="273" t="s">
        <v>638</v>
      </c>
      <c r="K20" s="261"/>
      <c r="L20" s="274">
        <v>1.6E-2</v>
      </c>
      <c r="M20" s="275" t="s">
        <v>639</v>
      </c>
      <c r="N20" s="261"/>
      <c r="O20" s="276">
        <v>0</v>
      </c>
    </row>
    <row r="21" spans="2:16" ht="15" thickBot="1" x14ac:dyDescent="0.35">
      <c r="B21" s="270"/>
      <c r="C21" s="271" t="s">
        <v>640</v>
      </c>
      <c r="D21" s="261"/>
      <c r="E21" s="261"/>
      <c r="F21" s="277">
        <f>(O20+O23/1000-'Balance Sheet'!F21)/(F20)</f>
        <v>-15.947747437333105</v>
      </c>
      <c r="G21" s="264"/>
      <c r="H21" s="264"/>
      <c r="I21" s="261"/>
      <c r="J21" s="273" t="s">
        <v>641</v>
      </c>
      <c r="K21" s="261"/>
      <c r="L21" s="274">
        <v>6.9400000000000003E-2</v>
      </c>
      <c r="M21" s="273" t="s">
        <v>642</v>
      </c>
      <c r="N21" s="261"/>
      <c r="O21" s="278">
        <v>4.91</v>
      </c>
    </row>
    <row r="22" spans="2:16" x14ac:dyDescent="0.3">
      <c r="B22" s="270"/>
      <c r="C22" s="271" t="s">
        <v>634</v>
      </c>
      <c r="D22" s="261"/>
      <c r="E22" s="261"/>
      <c r="F22" s="279">
        <f>F21*F20</f>
        <v>4628435</v>
      </c>
      <c r="G22" s="264"/>
      <c r="H22" s="264"/>
      <c r="I22" s="261"/>
      <c r="J22" s="273" t="s">
        <v>643</v>
      </c>
      <c r="K22" s="261"/>
      <c r="L22" s="303">
        <v>1.2</v>
      </c>
      <c r="M22" s="273" t="s">
        <v>644</v>
      </c>
      <c r="N22" s="261"/>
      <c r="O22" s="280">
        <v>1000000000</v>
      </c>
      <c r="P22" s="302"/>
    </row>
    <row r="23" spans="2:16" x14ac:dyDescent="0.3">
      <c r="B23" s="281"/>
      <c r="C23" s="282" t="s">
        <v>645</v>
      </c>
      <c r="D23" s="283"/>
      <c r="E23" s="283"/>
      <c r="F23" s="284">
        <f>F22/(1+F15)^J14</f>
        <v>3169573.7585852994</v>
      </c>
      <c r="G23" s="285"/>
      <c r="H23" s="264"/>
      <c r="I23" s="261"/>
      <c r="J23" s="275" t="s">
        <v>646</v>
      </c>
      <c r="K23" s="261"/>
      <c r="L23" s="286">
        <f>L20+L21*L22</f>
        <v>9.9280000000000007E-2</v>
      </c>
      <c r="M23" s="275" t="s">
        <v>647</v>
      </c>
      <c r="N23" s="261"/>
      <c r="O23" s="287">
        <f>O22*O21</f>
        <v>4910000000</v>
      </c>
    </row>
    <row r="24" spans="2:16" x14ac:dyDescent="0.3">
      <c r="B24" s="265" t="s">
        <v>648</v>
      </c>
      <c r="C24" s="266"/>
      <c r="D24" s="266"/>
      <c r="E24" s="266"/>
      <c r="F24" s="267"/>
      <c r="G24" s="264"/>
      <c r="H24" s="264"/>
      <c r="I24" s="261"/>
      <c r="J24" s="275" t="s">
        <v>649</v>
      </c>
      <c r="K24" s="261"/>
      <c r="L24" s="274">
        <f>'[1]Debt Schedule'!H26</f>
        <v>0</v>
      </c>
      <c r="M24" s="270"/>
      <c r="N24" s="261"/>
      <c r="O24" s="288"/>
    </row>
    <row r="25" spans="2:16" ht="15" thickBot="1" x14ac:dyDescent="0.35">
      <c r="B25" s="289"/>
      <c r="C25" s="290" t="s">
        <v>623</v>
      </c>
      <c r="D25" s="291"/>
      <c r="E25" s="291"/>
      <c r="F25" s="335">
        <f>J15</f>
        <v>262536.3674596498</v>
      </c>
      <c r="G25" s="261"/>
      <c r="H25" s="264"/>
      <c r="I25" s="261"/>
      <c r="J25" s="270"/>
      <c r="K25" s="261"/>
      <c r="L25" s="261"/>
      <c r="M25" s="270"/>
      <c r="N25" s="261"/>
      <c r="O25" s="288"/>
    </row>
    <row r="26" spans="2:16" ht="15" thickBot="1" x14ac:dyDescent="0.35">
      <c r="B26" s="270"/>
      <c r="C26" s="271" t="s">
        <v>121</v>
      </c>
      <c r="D26" s="261"/>
      <c r="E26" s="261"/>
      <c r="F26" s="338">
        <v>0.02</v>
      </c>
      <c r="G26" s="264"/>
      <c r="H26" s="264"/>
      <c r="I26" s="261"/>
      <c r="J26" s="292" t="s">
        <v>650</v>
      </c>
      <c r="K26" s="283"/>
      <c r="L26" s="304">
        <f>L23*(O23/(O20+O23))+L24*(O23/(O20+O23))*(1-'[1]Income Statement'!G55)</f>
        <v>9.9280000000000007E-2</v>
      </c>
      <c r="M26" s="281"/>
      <c r="N26" s="283"/>
      <c r="O26" s="293"/>
    </row>
    <row r="27" spans="2:16" x14ac:dyDescent="0.3">
      <c r="B27" s="270"/>
      <c r="C27" s="271" t="s">
        <v>634</v>
      </c>
      <c r="D27" s="261"/>
      <c r="E27" s="261"/>
      <c r="F27" s="336">
        <f>F25*(1+F26)/(F15-F26)</f>
        <v>3377738.3300812664</v>
      </c>
      <c r="G27" s="294"/>
      <c r="H27" s="264"/>
      <c r="I27" s="261"/>
      <c r="J27" s="261"/>
      <c r="K27" s="261"/>
      <c r="L27" s="261"/>
      <c r="M27" s="261"/>
      <c r="N27" s="261"/>
      <c r="O27" s="261"/>
    </row>
    <row r="28" spans="2:16" x14ac:dyDescent="0.3">
      <c r="B28" s="281"/>
      <c r="C28" s="282" t="s">
        <v>645</v>
      </c>
      <c r="D28" s="283"/>
      <c r="E28" s="283"/>
      <c r="F28" s="337">
        <f>F27/(1+F15)^J14</f>
        <v>2313090.8772389181</v>
      </c>
      <c r="G28" s="285"/>
      <c r="H28" s="264"/>
      <c r="I28" s="261"/>
      <c r="J28" s="261" t="s">
        <v>651</v>
      </c>
      <c r="K28" s="261"/>
      <c r="L28" s="261"/>
      <c r="M28" s="261"/>
      <c r="N28" s="261"/>
      <c r="O28" s="261"/>
    </row>
    <row r="29" spans="2:16" x14ac:dyDescent="0.3">
      <c r="B29" s="261"/>
      <c r="C29" s="261"/>
      <c r="D29" s="261"/>
      <c r="E29" s="261"/>
      <c r="F29" s="261"/>
      <c r="G29" s="261"/>
      <c r="H29" s="261"/>
      <c r="I29" s="261"/>
      <c r="J29" s="261"/>
      <c r="K29" s="261"/>
      <c r="L29" s="261"/>
      <c r="M29" s="261"/>
      <c r="N29" s="261"/>
      <c r="O29" s="261"/>
    </row>
    <row r="30" spans="2:16" x14ac:dyDescent="0.3">
      <c r="B30" s="265" t="s">
        <v>652</v>
      </c>
      <c r="C30" s="266"/>
      <c r="D30" s="266"/>
      <c r="E30" s="295" t="s">
        <v>653</v>
      </c>
      <c r="F30" s="296" t="s">
        <v>648</v>
      </c>
      <c r="G30" s="264"/>
      <c r="H30" s="264"/>
      <c r="I30" s="261"/>
      <c r="J30" s="261" t="s">
        <v>654</v>
      </c>
      <c r="K30" s="261"/>
      <c r="L30" s="261"/>
      <c r="M30" s="261"/>
      <c r="N30" s="261"/>
      <c r="O30" s="261"/>
    </row>
    <row r="31" spans="2:16" x14ac:dyDescent="0.3">
      <c r="B31" s="270" t="s">
        <v>655</v>
      </c>
      <c r="C31" s="261"/>
      <c r="D31" s="261"/>
      <c r="E31" s="264">
        <f>G16</f>
        <v>573139.77326647344</v>
      </c>
      <c r="F31" s="272">
        <f>G16</f>
        <v>573139.77326647344</v>
      </c>
      <c r="G31" s="261" t="s">
        <v>656</v>
      </c>
      <c r="H31" s="261"/>
      <c r="I31" s="261"/>
      <c r="J31" s="261" t="s">
        <v>657</v>
      </c>
      <c r="K31" s="261"/>
      <c r="L31" s="261"/>
      <c r="M31" s="261"/>
      <c r="N31" s="261"/>
      <c r="O31" s="261"/>
    </row>
    <row r="32" spans="2:16" x14ac:dyDescent="0.3">
      <c r="B32" s="270" t="s">
        <v>658</v>
      </c>
      <c r="C32" s="261"/>
      <c r="D32" s="261"/>
      <c r="E32" s="297">
        <f>F23</f>
        <v>3169573.7585852994</v>
      </c>
      <c r="F32" s="272">
        <f>F28</f>
        <v>2313090.8772389181</v>
      </c>
      <c r="G32" s="261"/>
      <c r="H32" s="261"/>
      <c r="I32" s="261"/>
      <c r="J32" s="261"/>
      <c r="K32" s="261"/>
      <c r="L32" s="261"/>
      <c r="M32" s="261"/>
      <c r="N32" s="298"/>
      <c r="O32" s="298"/>
    </row>
    <row r="33" spans="2:15" x14ac:dyDescent="0.3">
      <c r="B33" s="275" t="s">
        <v>659</v>
      </c>
      <c r="C33" s="261"/>
      <c r="D33" s="261"/>
      <c r="E33" s="285">
        <f>SUM(E31:E32)</f>
        <v>3742713.5318517727</v>
      </c>
      <c r="F33" s="299">
        <f>SUM(F31:F32)</f>
        <v>2886230.6505053914</v>
      </c>
      <c r="G33" s="261"/>
      <c r="H33" s="261"/>
      <c r="I33" s="261"/>
      <c r="J33" s="261"/>
      <c r="K33" s="261"/>
      <c r="L33" s="261"/>
      <c r="M33" s="261"/>
      <c r="N33" s="261"/>
      <c r="O33" s="261"/>
    </row>
    <row r="34" spans="2:15" x14ac:dyDescent="0.3">
      <c r="B34" s="270" t="s">
        <v>660</v>
      </c>
      <c r="C34" s="261"/>
      <c r="D34" s="261"/>
      <c r="E34" s="264">
        <f>O20-'Balance Sheet'!F21</f>
        <v>-281565</v>
      </c>
      <c r="F34" s="272">
        <f>O20-'Balance Sheet'!F21</f>
        <v>-281565</v>
      </c>
      <c r="G34" s="261" t="s">
        <v>656</v>
      </c>
      <c r="H34" s="261"/>
      <c r="I34" s="261"/>
      <c r="J34" s="261"/>
      <c r="K34" s="261"/>
      <c r="L34" s="261"/>
      <c r="M34" s="261"/>
      <c r="N34" s="261"/>
      <c r="O34" s="261"/>
    </row>
    <row r="35" spans="2:15" x14ac:dyDescent="0.3">
      <c r="B35" s="275" t="s">
        <v>647</v>
      </c>
      <c r="C35" s="260"/>
      <c r="D35" s="260"/>
      <c r="E35" s="339">
        <f>E33-E34</f>
        <v>4024278.5318517727</v>
      </c>
      <c r="F35" s="340">
        <f>F33-F34</f>
        <v>3167795.6505053914</v>
      </c>
      <c r="G35" s="261"/>
      <c r="H35" s="261"/>
      <c r="I35" s="261"/>
      <c r="J35" s="261"/>
      <c r="K35" s="261"/>
      <c r="L35" s="261"/>
      <c r="M35" s="261"/>
      <c r="N35" s="261"/>
      <c r="O35" s="261"/>
    </row>
    <row r="36" spans="2:15" x14ac:dyDescent="0.3">
      <c r="B36" s="270" t="s">
        <v>664</v>
      </c>
      <c r="C36" s="261"/>
      <c r="D36" s="261"/>
      <c r="E36" s="341">
        <f>O22/1000</f>
        <v>1000000</v>
      </c>
      <c r="F36" s="342">
        <f>O22/1000</f>
        <v>1000000</v>
      </c>
      <c r="G36" s="261" t="s">
        <v>656</v>
      </c>
      <c r="H36" s="261"/>
      <c r="I36" s="261"/>
      <c r="J36" s="261"/>
      <c r="K36" s="261"/>
      <c r="L36" s="261"/>
      <c r="M36" s="261"/>
      <c r="N36" s="300"/>
      <c r="O36" s="300"/>
    </row>
    <row r="37" spans="2:15" x14ac:dyDescent="0.3">
      <c r="B37" s="292" t="s">
        <v>661</v>
      </c>
      <c r="C37" s="301"/>
      <c r="D37" s="301"/>
      <c r="E37" s="344">
        <f>E35/E36</f>
        <v>4.0242785318517731</v>
      </c>
      <c r="F37" s="343">
        <f>F35/F36</f>
        <v>3.1677956505053912</v>
      </c>
      <c r="G37" s="261"/>
      <c r="H37" s="261"/>
      <c r="I37" s="261"/>
      <c r="J37" s="261"/>
      <c r="K37" s="261"/>
      <c r="L37" s="261"/>
      <c r="M37" s="261"/>
      <c r="N37" s="261"/>
      <c r="O37" s="261"/>
    </row>
  </sheetData>
  <mergeCells count="2">
    <mergeCell ref="D2:F2"/>
    <mergeCell ref="G2:J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CB76D-4645-41F2-8E4A-655225832B7F}">
  <dimension ref="A2:K19"/>
  <sheetViews>
    <sheetView zoomScale="130" zoomScaleNormal="130" workbookViewId="0">
      <selection activeCell="B13" sqref="B13"/>
    </sheetView>
  </sheetViews>
  <sheetFormatPr defaultRowHeight="14.4" x14ac:dyDescent="0.3"/>
  <sheetData>
    <row r="2" spans="1:11" x14ac:dyDescent="0.3">
      <c r="B2" t="s">
        <v>12</v>
      </c>
    </row>
    <row r="3" spans="1:11" x14ac:dyDescent="0.3">
      <c r="B3" t="s">
        <v>8</v>
      </c>
    </row>
    <row r="4" spans="1:11" x14ac:dyDescent="0.3">
      <c r="B4" t="s">
        <v>14</v>
      </c>
    </row>
    <row r="5" spans="1:11" x14ac:dyDescent="0.3">
      <c r="B5" t="s">
        <v>13</v>
      </c>
    </row>
    <row r="7" spans="1:11" x14ac:dyDescent="0.3">
      <c r="B7" t="s">
        <v>9</v>
      </c>
    </row>
    <row r="8" spans="1:11" x14ac:dyDescent="0.3">
      <c r="B8" s="2" t="s">
        <v>15</v>
      </c>
    </row>
    <row r="10" spans="1:11" x14ac:dyDescent="0.3">
      <c r="A10" s="8"/>
      <c r="B10" s="12" t="s">
        <v>96</v>
      </c>
      <c r="C10" s="10"/>
      <c r="D10" s="10"/>
      <c r="E10" s="8"/>
      <c r="F10" s="8"/>
      <c r="G10" s="8"/>
      <c r="H10" s="8"/>
      <c r="I10" s="6"/>
      <c r="J10" s="6"/>
      <c r="K10" s="6"/>
    </row>
    <row r="11" spans="1:11" x14ac:dyDescent="0.3">
      <c r="A11" s="6"/>
      <c r="B11" s="7" t="s">
        <v>97</v>
      </c>
      <c r="C11" s="5"/>
      <c r="D11" s="5"/>
      <c r="E11" s="6"/>
      <c r="F11" s="6"/>
      <c r="G11" s="6"/>
      <c r="H11" s="6"/>
      <c r="I11" s="6"/>
      <c r="J11" s="6"/>
      <c r="K11" s="6"/>
    </row>
    <row r="12" spans="1:11" x14ac:dyDescent="0.3">
      <c r="A12" s="8"/>
      <c r="B12" s="9" t="s">
        <v>98</v>
      </c>
      <c r="C12" s="10"/>
      <c r="D12" s="10"/>
      <c r="E12" s="8"/>
      <c r="F12" s="8"/>
      <c r="G12" s="8"/>
      <c r="H12" s="8"/>
      <c r="I12" s="6"/>
      <c r="J12" s="6"/>
      <c r="K12" s="6"/>
    </row>
    <row r="13" spans="1:11" x14ac:dyDescent="0.3">
      <c r="A13" s="8"/>
      <c r="B13" s="11" t="s">
        <v>99</v>
      </c>
      <c r="C13" s="10"/>
      <c r="D13" s="10"/>
      <c r="E13" s="8"/>
      <c r="F13" s="8"/>
      <c r="G13" s="8"/>
      <c r="H13" s="8"/>
      <c r="I13" s="6"/>
      <c r="J13" s="6"/>
      <c r="K13" s="6"/>
    </row>
    <row r="14" spans="1:11" x14ac:dyDescent="0.3">
      <c r="A14" s="8"/>
      <c r="B14" s="8"/>
      <c r="C14" s="8"/>
      <c r="D14" s="8"/>
      <c r="E14" s="8"/>
      <c r="F14" s="8"/>
      <c r="G14" s="8"/>
      <c r="H14" s="8"/>
      <c r="I14" s="6"/>
      <c r="J14" s="6"/>
      <c r="K14" s="6"/>
    </row>
    <row r="15" spans="1:11" x14ac:dyDescent="0.3">
      <c r="A15" s="6"/>
      <c r="B15" t="s">
        <v>12</v>
      </c>
      <c r="C15" s="6"/>
      <c r="D15" s="6"/>
      <c r="E15" s="6"/>
      <c r="F15" s="6"/>
      <c r="G15" s="6"/>
      <c r="H15" s="6"/>
      <c r="I15" s="6"/>
      <c r="J15" s="6"/>
      <c r="K15" s="6"/>
    </row>
    <row r="16" spans="1:11" x14ac:dyDescent="0.3">
      <c r="A16" s="6"/>
      <c r="B16" t="s">
        <v>103</v>
      </c>
      <c r="C16" s="6"/>
      <c r="D16" s="6"/>
      <c r="E16" s="6"/>
      <c r="F16" s="6"/>
      <c r="G16" s="6"/>
      <c r="H16" s="6"/>
      <c r="I16" s="6"/>
      <c r="J16" s="6"/>
      <c r="K16" s="6"/>
    </row>
    <row r="17" spans="2:2" x14ac:dyDescent="0.3">
      <c r="B17" t="s">
        <v>100</v>
      </c>
    </row>
    <row r="18" spans="2:2" x14ac:dyDescent="0.3">
      <c r="B18" s="2" t="s">
        <v>101</v>
      </c>
    </row>
    <row r="19" spans="2:2" x14ac:dyDescent="0.3">
      <c r="B19" s="2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Cover</vt:lpstr>
      <vt:lpstr>Income Statement</vt:lpstr>
      <vt:lpstr>Balance Sheet</vt:lpstr>
      <vt:lpstr>Cash Flow Statement</vt:lpstr>
      <vt:lpstr>Revenue Build</vt:lpstr>
      <vt:lpstr>Cost Build</vt:lpstr>
      <vt:lpstr>OWC</vt:lpstr>
      <vt:lpstr>Debt Schedule</vt:lpstr>
      <vt:lpstr>PPE Schedule</vt:lpstr>
      <vt:lpstr>Tax Breakdown</vt:lpstr>
      <vt:lpstr>Changes in FV</vt:lpstr>
      <vt:lpstr>Financial Analysis</vt:lpstr>
      <vt:lpstr>Trading Comparables</vt:lpstr>
      <vt:lpstr>DCF Analysis</vt:lpstr>
      <vt:lpstr>Others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2019-07-10T04:37:18Z</dcterms:modified>
</cp:coreProperties>
</file>