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Equities\Endgame\Z Corporate Finance Hub\Revolve Group\"/>
    </mc:Choice>
  </mc:AlternateContent>
  <xr:revisionPtr revIDLastSave="0" documentId="13_ncr:1_{AE9190AB-07AE-4DF4-9B0D-3DE2CDE94250}" xr6:coauthVersionLast="43" xr6:coauthVersionMax="43" xr10:uidLastSave="{00000000-0000-0000-0000-000000000000}"/>
  <bookViews>
    <workbookView xWindow="-108" yWindow="-108" windowWidth="23256" windowHeight="12576" tabRatio="712" firstSheet="3" activeTab="3" xr2:uid="{00000000-000D-0000-FFFF-FFFF00000000}"/>
  </bookViews>
  <sheets>
    <sheet name="First Screen" sheetId="1" state="hidden" r:id="rId1"/>
    <sheet name="Details" sheetId="2" state="hidden" r:id="rId2"/>
    <sheet name="Template" sheetId="6" state="hidden" r:id="rId3"/>
    <sheet name="Trading Comparables" sheetId="4" r:id="rId4"/>
    <sheet name="ASOS" sheetId="5" r:id="rId5"/>
    <sheet name="Boohoo" sheetId="7" r:id="rId6"/>
    <sheet name="Boozt" sheetId="10" r:id="rId7"/>
    <sheet name="Secoo Holding Limited" sheetId="13" r:id="rId8"/>
    <sheet name="Zozo" sheetId="15" r:id="rId9"/>
    <sheet name="Mogu Inc" sheetId="12" r:id="rId10"/>
    <sheet name="Revolve Group" sheetId="9" r:id="rId11"/>
    <sheet name="WACC" sheetId="3" state="hidden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4" l="1"/>
  <c r="D18" i="4"/>
  <c r="E25" i="4"/>
  <c r="D25" i="4"/>
  <c r="E21" i="4"/>
  <c r="D21" i="4"/>
  <c r="E22" i="4"/>
  <c r="D22" i="4"/>
  <c r="K12" i="4"/>
  <c r="J12" i="4"/>
  <c r="J5" i="3" l="1"/>
  <c r="N12" i="4" l="1"/>
  <c r="M12" i="4"/>
  <c r="L12" i="4"/>
  <c r="I12" i="4"/>
  <c r="H12" i="4"/>
  <c r="F12" i="4"/>
  <c r="G12" i="4" s="1"/>
  <c r="E19" i="15" l="1"/>
  <c r="N9" i="4" s="1"/>
  <c r="D15" i="15"/>
  <c r="M9" i="4" s="1"/>
  <c r="L9" i="4"/>
  <c r="K9" i="4"/>
  <c r="J9" i="4"/>
  <c r="I9" i="4"/>
  <c r="B31" i="15"/>
  <c r="C31" i="15" s="1"/>
  <c r="H9" i="4" s="1"/>
  <c r="F9" i="4"/>
  <c r="G9" i="4" s="1"/>
  <c r="D9" i="4"/>
  <c r="C9" i="4"/>
  <c r="N8" i="4"/>
  <c r="M8" i="4"/>
  <c r="L8" i="4"/>
  <c r="K8" i="4"/>
  <c r="J8" i="4"/>
  <c r="I8" i="4"/>
  <c r="H8" i="4"/>
  <c r="F8" i="4"/>
  <c r="G8" i="4" s="1"/>
  <c r="D8" i="4"/>
  <c r="C8" i="4"/>
  <c r="N11" i="4"/>
  <c r="M11" i="4"/>
  <c r="L11" i="4"/>
  <c r="K11" i="4"/>
  <c r="J11" i="4"/>
  <c r="I11" i="4"/>
  <c r="H11" i="4"/>
  <c r="F11" i="4"/>
  <c r="G11" i="4" s="1"/>
  <c r="D11" i="4"/>
  <c r="C11" i="4"/>
  <c r="N7" i="4"/>
  <c r="M7" i="4"/>
  <c r="L7" i="4"/>
  <c r="K7" i="4"/>
  <c r="J7" i="4"/>
  <c r="I7" i="4"/>
  <c r="H7" i="4"/>
  <c r="F7" i="4"/>
  <c r="G7" i="4" s="1"/>
  <c r="D7" i="4"/>
  <c r="C7" i="4"/>
  <c r="N6" i="4"/>
  <c r="M6" i="4"/>
  <c r="L6" i="4"/>
  <c r="K6" i="4"/>
  <c r="J6" i="4"/>
  <c r="I6" i="4"/>
  <c r="E19" i="4" s="1"/>
  <c r="E20" i="4" s="1"/>
  <c r="E24" i="4" s="1"/>
  <c r="E26" i="4" s="1"/>
  <c r="H6" i="4"/>
  <c r="F6" i="4"/>
  <c r="G6" i="4" s="1"/>
  <c r="D6" i="4"/>
  <c r="C6" i="4"/>
  <c r="D23" i="15"/>
  <c r="D11" i="15"/>
  <c r="B31" i="13"/>
  <c r="D31" i="13" s="1"/>
  <c r="B27" i="13"/>
  <c r="D27" i="13" s="1"/>
  <c r="F4" i="13"/>
  <c r="B8" i="13"/>
  <c r="B15" i="13"/>
  <c r="B19" i="13"/>
  <c r="D19" i="13" s="1"/>
  <c r="D24" i="12"/>
  <c r="E24" i="12"/>
  <c r="B24" i="12"/>
  <c r="G5" i="3"/>
  <c r="I5" i="3" s="1"/>
  <c r="F5" i="3"/>
  <c r="G3" i="3"/>
  <c r="G4" i="3"/>
  <c r="F4" i="3"/>
  <c r="D11" i="13"/>
  <c r="D23" i="13"/>
  <c r="D8" i="13"/>
  <c r="D15" i="13" s="1"/>
  <c r="C24" i="12"/>
  <c r="D31" i="12"/>
  <c r="A31" i="12"/>
  <c r="D27" i="12"/>
  <c r="E12" i="12"/>
  <c r="E16" i="10"/>
  <c r="E24" i="10" s="1"/>
  <c r="B24" i="10"/>
  <c r="D12" i="10"/>
  <c r="F4" i="10"/>
  <c r="D8" i="10"/>
  <c r="D31" i="10"/>
  <c r="D27" i="10"/>
  <c r="D24" i="10"/>
  <c r="D20" i="10"/>
  <c r="C24" i="10" s="1"/>
  <c r="D16" i="10"/>
  <c r="C24" i="7"/>
  <c r="E16" i="9"/>
  <c r="E16" i="5"/>
  <c r="E16" i="7"/>
  <c r="D12" i="7"/>
  <c r="B24" i="7"/>
  <c r="D24" i="7" s="1"/>
  <c r="C24" i="9"/>
  <c r="D31" i="9"/>
  <c r="D27" i="9"/>
  <c r="B24" i="9"/>
  <c r="D20" i="9"/>
  <c r="D16" i="9"/>
  <c r="D12" i="9"/>
  <c r="D8" i="9"/>
  <c r="D27" i="7"/>
  <c r="D20" i="7"/>
  <c r="D16" i="7"/>
  <c r="D8" i="7"/>
  <c r="D31" i="7" s="1"/>
  <c r="B24" i="5"/>
  <c r="F5" i="4" s="1"/>
  <c r="G5" i="4" s="1"/>
  <c r="D30" i="6"/>
  <c r="D27" i="6"/>
  <c r="D23" i="6"/>
  <c r="C27" i="6" s="1"/>
  <c r="D19" i="6"/>
  <c r="D15" i="6"/>
  <c r="D8" i="6"/>
  <c r="D11" i="6" s="1"/>
  <c r="D20" i="5"/>
  <c r="K5" i="4"/>
  <c r="J5" i="4"/>
  <c r="C5" i="4"/>
  <c r="N5" i="4"/>
  <c r="M5" i="4"/>
  <c r="L5" i="4"/>
  <c r="D27" i="5"/>
  <c r="E12" i="5"/>
  <c r="D31" i="5"/>
  <c r="D16" i="5"/>
  <c r="D12" i="5"/>
  <c r="D8" i="5"/>
  <c r="I4" i="3" l="1"/>
  <c r="J4" i="3" s="1"/>
  <c r="D31" i="15"/>
  <c r="E23" i="15"/>
  <c r="C31" i="13"/>
  <c r="E23" i="13"/>
  <c r="E31" i="13" s="1"/>
  <c r="E19" i="13"/>
  <c r="E16" i="12"/>
  <c r="E12" i="10"/>
  <c r="E24" i="7"/>
  <c r="D24" i="9"/>
  <c r="E12" i="9"/>
  <c r="E12" i="7"/>
  <c r="C24" i="5"/>
  <c r="H5" i="4" s="1"/>
  <c r="F3" i="3"/>
  <c r="D24" i="5"/>
  <c r="E19" i="6"/>
  <c r="E27" i="6" s="1"/>
  <c r="E15" i="6"/>
  <c r="I3" i="3" l="1"/>
  <c r="J3" i="3" s="1"/>
  <c r="E31" i="15"/>
  <c r="E24" i="5"/>
  <c r="I5" i="4" s="1"/>
  <c r="E16" i="4" l="1"/>
  <c r="C16" i="4"/>
  <c r="D16" i="4"/>
  <c r="D19" i="4" s="1"/>
  <c r="D20" i="4" l="1"/>
  <c r="D24" i="4" s="1"/>
  <c r="D26" i="4" s="1"/>
</calcChain>
</file>

<file path=xl/sharedStrings.xml><?xml version="1.0" encoding="utf-8"?>
<sst xmlns="http://schemas.openxmlformats.org/spreadsheetml/2006/main" count="595" uniqueCount="183">
  <si>
    <t xml:space="preserve"> </t>
  </si>
  <si>
    <t>https://www.marketscreener.com/REVOLVE-GROUP-LLC-59178690/company/</t>
  </si>
  <si>
    <t>From Marketscreener's Revolve Screen</t>
  </si>
  <si>
    <t>1)</t>
  </si>
  <si>
    <t>BooHoo Group</t>
  </si>
  <si>
    <t xml:space="preserve">N Brown Group. Has homewares too and a focus on underserved customers. </t>
  </si>
  <si>
    <t>https://www.marketscreener.com/stock-exchange/sectors/World-99/Consumer_Cyclical-53/Retailers-40/Diversified_Retail-20/Department_Stores-10/Internet_Mail_Order_Department_Stores-13/</t>
  </si>
  <si>
    <t>From Marketscreener's ASOS.com Screen</t>
  </si>
  <si>
    <t>2)</t>
  </si>
  <si>
    <t>3)</t>
  </si>
  <si>
    <t>4)</t>
  </si>
  <si>
    <t>5)</t>
  </si>
  <si>
    <t xml:space="preserve">Zozo Inc </t>
  </si>
  <si>
    <t>Japan</t>
  </si>
  <si>
    <t>Verkkokauppa.com</t>
  </si>
  <si>
    <t>Finish Online Retailer which sells everythign</t>
  </si>
  <si>
    <t>ASOS</t>
  </si>
  <si>
    <t>Wayfair is online bed bath &amp; beyond</t>
  </si>
  <si>
    <t>?</t>
  </si>
  <si>
    <t>6)</t>
  </si>
  <si>
    <t>Others are involved in like healthcare products, or focus on electronics, or they do everything like amazon</t>
  </si>
  <si>
    <t>One of them is even the Key Opinion Leader in China</t>
  </si>
  <si>
    <t>LightInTheBox Holding  US full retail. I think they specialize in having discount and sales? Low end maybe?</t>
  </si>
  <si>
    <t>https://www.marketscreener.com/stock-exchange/sectors/World-99/Technology-57/Software_IT_Services-20/Software_IT_Services-10/Internet_Services-30/E_commerce_Auction_Services-13/</t>
  </si>
  <si>
    <t>From Marketscreener's Farfetch Screen</t>
  </si>
  <si>
    <t>Amazon.com XX because they also allow others to resell</t>
  </si>
  <si>
    <t>XX</t>
  </si>
  <si>
    <t>Overstock.com bed bath &amp; beyond equivalent</t>
  </si>
  <si>
    <t>mercadolibre is like amazon for south america</t>
  </si>
  <si>
    <t>JD.com is like amazon</t>
  </si>
  <si>
    <t>Bootz AB Swedish based just does apparel</t>
  </si>
  <si>
    <t>Secoo has cosmetics as well. Consider? It seems high end</t>
  </si>
  <si>
    <t>Qliro Group is like the Swedish Amazon</t>
  </si>
  <si>
    <t xml:space="preserve">** </t>
  </si>
  <si>
    <t>Isit simialr to Mogu Inc in China? (Same screen)</t>
  </si>
  <si>
    <t>OTHERS</t>
  </si>
  <si>
    <t>Mathcesfashion valued at 1billion in 2017 was bought by Apax Partners</t>
  </si>
  <si>
    <t>Express, Inc has stores</t>
  </si>
  <si>
    <t>Ruhnn Holding</t>
  </si>
  <si>
    <t>KOL business model not sustainable in the long run https://asia.nikkei.com/Business/Startups/China-s-top-influencer-factory-Ruhnn-faces-test-with-US-listing</t>
  </si>
  <si>
    <t>Pinduoduo has a peer-to-peer approach</t>
  </si>
  <si>
    <t>Detail</t>
  </si>
  <si>
    <t>Yunji enables ecommerce via wechat</t>
  </si>
  <si>
    <t>Secoo</t>
  </si>
  <si>
    <t xml:space="preserve">Bootz AB </t>
  </si>
  <si>
    <t>Swedish</t>
  </si>
  <si>
    <t>International</t>
  </si>
  <si>
    <t>China</t>
  </si>
  <si>
    <t>UK</t>
  </si>
  <si>
    <t>Mogu Inc</t>
  </si>
  <si>
    <t>Recenetly IPO-ed so wont have enough info</t>
  </si>
  <si>
    <t>Name</t>
  </si>
  <si>
    <t xml:space="preserve">Net Debt </t>
  </si>
  <si>
    <t xml:space="preserve">Effective Tax Rate </t>
  </si>
  <si>
    <t>Unlevered Beta</t>
  </si>
  <si>
    <t>Weighted Average Beta</t>
  </si>
  <si>
    <t>Weighted Unlevered Beta</t>
  </si>
  <si>
    <t>Relevered Beta</t>
  </si>
  <si>
    <t>Adjusted Beta</t>
  </si>
  <si>
    <t>Company Name</t>
  </si>
  <si>
    <t>Price to Earnings Ratio</t>
  </si>
  <si>
    <t>Revenue CAGR</t>
  </si>
  <si>
    <t>Gross Margins</t>
  </si>
  <si>
    <t>EBIT Margin</t>
  </si>
  <si>
    <t>Percentile</t>
  </si>
  <si>
    <t>Min</t>
  </si>
  <si>
    <t>Median</t>
  </si>
  <si>
    <t>Max</t>
  </si>
  <si>
    <t>Revolve Group's EBITDA</t>
  </si>
  <si>
    <t>EV/EBITDA</t>
  </si>
  <si>
    <t>Implied Enterprise Value</t>
  </si>
  <si>
    <t>Add: Net Cash</t>
  </si>
  <si>
    <t>Less: Total Debt</t>
  </si>
  <si>
    <t>Implied Equity Value</t>
  </si>
  <si>
    <t>Total Shares Outstanding</t>
  </si>
  <si>
    <t>Fair Value Per Share</t>
  </si>
  <si>
    <t>Date : 15th of July 2019</t>
  </si>
  <si>
    <t>Yahoo Finance</t>
  </si>
  <si>
    <t>Cash</t>
  </si>
  <si>
    <t>Debt</t>
  </si>
  <si>
    <t>12mths trailing Revenue</t>
  </si>
  <si>
    <t>12mth trailing EBITDA</t>
  </si>
  <si>
    <t>Weighted average shares in issue for basic earnings per share</t>
  </si>
  <si>
    <t>Diluted Count</t>
  </si>
  <si>
    <t>Date</t>
  </si>
  <si>
    <t>£m</t>
  </si>
  <si>
    <t>6mths to 28th Feb 2018</t>
  </si>
  <si>
    <t>6mths to 28th Feb 2019</t>
  </si>
  <si>
    <t>Year to 31 Aug 2018</t>
  </si>
  <si>
    <t>Operating Profit</t>
  </si>
  <si>
    <t>D&amp;A</t>
  </si>
  <si>
    <t>LON: ASC</t>
  </si>
  <si>
    <t>Exchange / Ticker</t>
  </si>
  <si>
    <t>Currency</t>
  </si>
  <si>
    <t>Share Count ^</t>
  </si>
  <si>
    <t>^ Weighted average share capital</t>
  </si>
  <si>
    <t>Revenue</t>
  </si>
  <si>
    <t>Profit</t>
  </si>
  <si>
    <t>12mths trailing Profit</t>
  </si>
  <si>
    <t>Enterprise Value</t>
  </si>
  <si>
    <t>Revolve Group</t>
  </si>
  <si>
    <t>2018 Revenue</t>
  </si>
  <si>
    <t>2017 Revenue</t>
  </si>
  <si>
    <t>2016 Revenue</t>
  </si>
  <si>
    <t>12mth trailing Operating Profit</t>
  </si>
  <si>
    <t>12mth trailing D&amp;A</t>
  </si>
  <si>
    <t>Gross Profit</t>
  </si>
  <si>
    <t>Market Cap ($m)</t>
  </si>
  <si>
    <t>Raw Beta (3Y monthly)</t>
  </si>
  <si>
    <t>( needs to be -60)</t>
  </si>
  <si>
    <t>pounds</t>
  </si>
  <si>
    <t>Share Price (pence)</t>
  </si>
  <si>
    <t>2019 Revenue</t>
  </si>
  <si>
    <t>LON: BOO</t>
  </si>
  <si>
    <t>Boohoo Group PLC</t>
  </si>
  <si>
    <t>Year end 28th February</t>
  </si>
  <si>
    <t>6mths to 31st August 2018</t>
  </si>
  <si>
    <t>http://secfilings.nasdaq.com/filingFrameset.asp?FilingID=13481791&amp;RcvdDate=6/7/2019&amp;CoName=REVOLVE%20GROUP%2C%20INC.&amp;FormType=424B4&amp;View=html</t>
  </si>
  <si>
    <t>Year end 31st March 2019</t>
  </si>
  <si>
    <t>NYSE: RVLV</t>
  </si>
  <si>
    <t>USD</t>
  </si>
  <si>
    <t>per share data</t>
  </si>
  <si>
    <t>All in thousands</t>
  </si>
  <si>
    <t>Year ended 31st Dec 2018</t>
  </si>
  <si>
    <t>3mths ended 31st Mar 2018</t>
  </si>
  <si>
    <t>3mths ended 31st Mar 2019</t>
  </si>
  <si>
    <t>Market Cap</t>
  </si>
  <si>
    <t>Year ended 31st Dec 2017</t>
  </si>
  <si>
    <t>Year ended 31st Dec 2016</t>
  </si>
  <si>
    <t>in millions</t>
  </si>
  <si>
    <t>Year ended 28th Feb 2019</t>
  </si>
  <si>
    <t>6mths to 31st August 2017</t>
  </si>
  <si>
    <t>Usually under the notes,</t>
  </si>
  <si>
    <t>Earnings per share section</t>
  </si>
  <si>
    <t>All in thousands except per share data and share count</t>
  </si>
  <si>
    <t>Share Price</t>
  </si>
  <si>
    <t>&gt; Share Price converted in pounds from pence</t>
  </si>
  <si>
    <t>&gt; Market Cap divided by thousand to achieve same units</t>
  </si>
  <si>
    <t>Market Cap (thousands)</t>
  </si>
  <si>
    <t xml:space="preserve">* Caution. Sometimes the Operating profit given </t>
  </si>
  <si>
    <t>s</t>
  </si>
  <si>
    <t>Boozt</t>
  </si>
  <si>
    <t>STO: BOOZT</t>
  </si>
  <si>
    <t>SEK</t>
  </si>
  <si>
    <t xml:space="preserve">Market Cap </t>
  </si>
  <si>
    <t>Boozt AB</t>
  </si>
  <si>
    <t>in thousands</t>
  </si>
  <si>
    <t>NYSE: MOGU</t>
  </si>
  <si>
    <t>12 mths trailing</t>
  </si>
  <si>
    <t>in RMB</t>
  </si>
  <si>
    <t>In Rmb</t>
  </si>
  <si>
    <t>Cause negative EBITDA</t>
  </si>
  <si>
    <t>New IPO?</t>
  </si>
  <si>
    <t>Something seems wrong</t>
  </si>
  <si>
    <t>Secoo Holding Limited</t>
  </si>
  <si>
    <t>NASDAQ: SECO</t>
  </si>
  <si>
    <t xml:space="preserve"> couldn’t find 3 months data</t>
  </si>
  <si>
    <t>Secoo Holding</t>
  </si>
  <si>
    <t>Zozo</t>
  </si>
  <si>
    <t>From Annual Report</t>
  </si>
  <si>
    <t>TYO: 3092</t>
  </si>
  <si>
    <t>millions</t>
  </si>
  <si>
    <t>Yen</t>
  </si>
  <si>
    <t>Average number of shares of common stock outstanding during the fiscal year</t>
  </si>
  <si>
    <t>https://d31ex0fa3i203z.cloudfront.net/wp/en/wp-content/uploads/2019/04/190425_E_Consolidated-Financial-Results-FY2018.pdf</t>
  </si>
  <si>
    <t>https://d31ex0fa3i203z.cloudfront.net/wp/en/wp-content/uploads/2019/04/190425_E_2019_4Q.pdf</t>
  </si>
  <si>
    <t>Units</t>
  </si>
  <si>
    <t>thousands</t>
  </si>
  <si>
    <t>No.</t>
  </si>
  <si>
    <t>All Trading Comps are hidden in other sheets</t>
  </si>
  <si>
    <t>EV/EBITDA Range</t>
  </si>
  <si>
    <t>EV/EBITDA selected</t>
  </si>
  <si>
    <t>Current Share Price</t>
  </si>
  <si>
    <t>Adjusted Market Cap</t>
  </si>
  <si>
    <t>NYSE:RVLV</t>
  </si>
  <si>
    <t>Useful Links</t>
  </si>
  <si>
    <t>https://seekingalpha.com/article/4270104-strong-debut-revolve-demonstrates-growing-interest-kol-led-e-commerce-chinese-peer-mogu-3</t>
  </si>
  <si>
    <t>https://www.caixinglobal.com/2019-06-19/growing-parade-of-china-tech-losers-line-up-for-new-york-listings-101428319.html</t>
  </si>
  <si>
    <t>Lack of Beta &amp; will not ibe included</t>
  </si>
  <si>
    <r>
      <t xml:space="preserve">1) Based on the limited list of close peers &amp; using a </t>
    </r>
    <r>
      <rPr>
        <b/>
        <sz val="14"/>
        <color theme="1"/>
        <rFont val="Garamond"/>
        <family val="1"/>
      </rPr>
      <t>Median</t>
    </r>
    <r>
      <rPr>
        <sz val="14"/>
        <color theme="1"/>
        <rFont val="Garamond"/>
        <family val="1"/>
      </rPr>
      <t xml:space="preserve"> EV/EBITDA multiple, Revolve Group looks </t>
    </r>
    <r>
      <rPr>
        <b/>
        <sz val="14"/>
        <color theme="1"/>
        <rFont val="Garamond"/>
        <family val="1"/>
      </rPr>
      <t>overpriced</t>
    </r>
    <r>
      <rPr>
        <sz val="14"/>
        <color theme="1"/>
        <rFont val="Garamond"/>
        <family val="1"/>
      </rPr>
      <t xml:space="preserve"> at  $37.73 as compared to our current fair value of $22.52. 
2) However if we base the EV/EBITDA multiple on the high end of our range, similar to the </t>
    </r>
    <r>
      <rPr>
        <b/>
        <sz val="14"/>
        <color theme="1"/>
        <rFont val="Garamond"/>
        <family val="1"/>
      </rPr>
      <t>Boohoo Group</t>
    </r>
    <r>
      <rPr>
        <sz val="14"/>
        <color theme="1"/>
        <rFont val="Garamond"/>
        <family val="1"/>
      </rPr>
      <t xml:space="preserve">, then the price can be explained
3) There are many similarities between the two companies. </t>
    </r>
    <r>
      <rPr>
        <b/>
        <sz val="14"/>
        <color theme="1"/>
        <rFont val="Garamond"/>
        <family val="1"/>
      </rPr>
      <t>Similar Gross Margins</t>
    </r>
    <r>
      <rPr>
        <sz val="14"/>
        <color theme="1"/>
        <rFont val="Garamond"/>
        <family val="1"/>
      </rPr>
      <t xml:space="preserve">, </t>
    </r>
    <r>
      <rPr>
        <b/>
        <sz val="14"/>
        <color theme="1"/>
        <rFont val="Garamond"/>
        <family val="1"/>
      </rPr>
      <t xml:space="preserve">similar EBIT margins </t>
    </r>
    <r>
      <rPr>
        <sz val="14"/>
        <color theme="1"/>
        <rFont val="Garamond"/>
        <family val="1"/>
      </rPr>
      <t xml:space="preserve">&amp; relatively </t>
    </r>
    <r>
      <rPr>
        <b/>
        <sz val="14"/>
        <color theme="1"/>
        <rFont val="Garamond"/>
        <family val="1"/>
      </rPr>
      <t>similar Revenues</t>
    </r>
    <r>
      <rPr>
        <sz val="14"/>
        <color theme="1"/>
        <rFont val="Garamond"/>
        <family val="1"/>
      </rPr>
      <t>. Albeit the Boohoo group has been growing at a faster rate.
4) It is possible that due to the l</t>
    </r>
    <r>
      <rPr>
        <b/>
        <sz val="14"/>
        <color theme="1"/>
        <rFont val="Garamond"/>
        <family val="1"/>
      </rPr>
      <t>ack of fresh fashion ecommerce stocks</t>
    </r>
    <r>
      <rPr>
        <sz val="14"/>
        <color theme="1"/>
        <rFont val="Garamond"/>
        <family val="1"/>
      </rPr>
      <t xml:space="preserve"> &amp; lack of well-known companies to retail investors, that the popular Revolve Group has had people clamouring for the stock.
5) However the Revolve Group has been facing some </t>
    </r>
    <r>
      <rPr>
        <b/>
        <sz val="14"/>
        <color theme="1"/>
        <rFont val="Garamond"/>
        <family val="1"/>
      </rPr>
      <t>selling pressures</t>
    </r>
    <r>
      <rPr>
        <sz val="14"/>
        <color theme="1"/>
        <rFont val="Garamond"/>
        <family val="1"/>
      </rPr>
      <t xml:space="preserve">, we believe it is due to the fact that people are understanding that its </t>
    </r>
    <r>
      <rPr>
        <b/>
        <sz val="14"/>
        <color theme="1"/>
        <rFont val="Garamond"/>
        <family val="1"/>
      </rPr>
      <t>P/E ratio is unsustainable</t>
    </r>
    <r>
      <rPr>
        <sz val="14"/>
        <color theme="1"/>
        <rFont val="Garamond"/>
        <family val="1"/>
      </rPr>
      <t xml:space="preserve">. Either growth explodes, or the price falls.
6) Do remember that the compnay IPO-ed at </t>
    </r>
    <r>
      <rPr>
        <b/>
        <sz val="14"/>
        <color theme="1"/>
        <rFont val="Garamond"/>
        <family val="1"/>
      </rPr>
      <t>$18</t>
    </r>
    <r>
      <rPr>
        <sz val="14"/>
        <color theme="1"/>
        <rFont val="Garamond"/>
        <family val="1"/>
      </rPr>
      <t xml:space="preserve">. For conservative investors, we aim for a Target price of </t>
    </r>
    <r>
      <rPr>
        <b/>
        <sz val="14"/>
        <color theme="1"/>
        <rFont val="Garamond"/>
        <family val="1"/>
      </rPr>
      <t>$23</t>
    </r>
    <r>
      <rPr>
        <sz val="14"/>
        <color theme="1"/>
        <rFont val="Garamond"/>
        <family val="1"/>
      </rPr>
      <t>.</t>
    </r>
  </si>
  <si>
    <t>List of Peers</t>
  </si>
  <si>
    <t>in millions, USD</t>
  </si>
  <si>
    <t>Based on original currency and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</si>
</sst>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"/>
    <numFmt numFmtId="165" formatCode="0.000"/>
    <numFmt numFmtId="166" formatCode="_-* #,##0_-;\-* #,##0_-;_-* &quot;-&quot;??_-;_-@_-"/>
    <numFmt numFmtId="167" formatCode="_-* #,##0.000000000_-;\-* #,##0.000000000_-;_-* &quot;-&quot;??_-;_-@_-"/>
    <numFmt numFmtId="168" formatCode="#,##0.0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9"/>
      <color theme="0"/>
      <name val="Century Gothic"/>
      <family val="1"/>
    </font>
    <font>
      <b/>
      <sz val="9"/>
      <color theme="0"/>
      <name val="Century Gothic"/>
      <family val="2"/>
    </font>
    <font>
      <b/>
      <sz val="9"/>
      <color theme="0"/>
      <name val="Arial"/>
      <family val="2"/>
    </font>
    <font>
      <b/>
      <sz val="9"/>
      <color theme="1"/>
      <name val="Century Gothic"/>
      <family val="1"/>
    </font>
    <font>
      <sz val="9"/>
      <color theme="1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FFFF00"/>
      <name val="Century Gothic"/>
      <family val="1"/>
    </font>
    <font>
      <sz val="9"/>
      <name val="Century Gothic"/>
      <family val="2"/>
    </font>
    <font>
      <i/>
      <sz val="9"/>
      <color theme="1"/>
      <name val="Calibri"/>
      <family val="2"/>
      <scheme val="minor"/>
    </font>
    <font>
      <sz val="14"/>
      <color theme="1"/>
      <name val="Garamond"/>
      <family val="1"/>
    </font>
    <font>
      <b/>
      <sz val="14"/>
      <color theme="1"/>
      <name val="Garamond"/>
      <family val="1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002F7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95">
    <xf numFmtId="0" fontId="0" fillId="0" borderId="0" xfId="0"/>
    <xf numFmtId="0" fontId="1" fillId="0" borderId="0" xfId="1"/>
    <xf numFmtId="0" fontId="0" fillId="0" borderId="0" xfId="0" applyFont="1"/>
    <xf numFmtId="0" fontId="2" fillId="0" borderId="0" xfId="0" applyFont="1"/>
    <xf numFmtId="0" fontId="0" fillId="2" borderId="0" xfId="0" applyFill="1"/>
    <xf numFmtId="0" fontId="0" fillId="0" borderId="0" xfId="0" applyFill="1"/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2" fontId="6" fillId="4" borderId="4" xfId="0" applyNumberFormat="1" applyFont="1" applyFill="1" applyBorder="1" applyAlignment="1">
      <alignment horizontal="center" vertical="center"/>
    </xf>
    <xf numFmtId="2" fontId="7" fillId="4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3" fontId="0" fillId="0" borderId="0" xfId="0" applyNumberFormat="1"/>
    <xf numFmtId="15" fontId="0" fillId="0" borderId="0" xfId="0" applyNumberFormat="1"/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165" fontId="0" fillId="0" borderId="0" xfId="0" applyNumberFormat="1"/>
    <xf numFmtId="2" fontId="0" fillId="0" borderId="0" xfId="0" applyNumberFormat="1"/>
    <xf numFmtId="1" fontId="0" fillId="0" borderId="0" xfId="0" applyNumberFormat="1"/>
    <xf numFmtId="0" fontId="0" fillId="5" borderId="0" xfId="0" applyFill="1"/>
    <xf numFmtId="4" fontId="0" fillId="0" borderId="0" xfId="0" applyNumberFormat="1"/>
    <xf numFmtId="10" fontId="0" fillId="0" borderId="0" xfId="0" applyNumberFormat="1"/>
    <xf numFmtId="43" fontId="0" fillId="0" borderId="0" xfId="2" applyFont="1"/>
    <xf numFmtId="9" fontId="0" fillId="0" borderId="0" xfId="0" applyNumberFormat="1"/>
    <xf numFmtId="166" fontId="0" fillId="0" borderId="0" xfId="2" applyNumberFormat="1" applyFont="1"/>
    <xf numFmtId="166" fontId="0" fillId="0" borderId="0" xfId="0" applyNumberFormat="1"/>
    <xf numFmtId="0" fontId="3" fillId="0" borderId="0" xfId="0" applyFont="1" applyFill="1" applyBorder="1" applyAlignment="1">
      <alignment horizontal="center" vertical="center"/>
    </xf>
    <xf numFmtId="166" fontId="0" fillId="0" borderId="0" xfId="2" applyNumberFormat="1" applyFont="1" applyFill="1"/>
    <xf numFmtId="167" fontId="0" fillId="0" borderId="0" xfId="0" applyNumberFormat="1" applyFill="1"/>
    <xf numFmtId="168" fontId="0" fillId="0" borderId="0" xfId="0" applyNumberFormat="1"/>
    <xf numFmtId="166" fontId="0" fillId="5" borderId="0" xfId="2" applyNumberFormat="1" applyFont="1" applyFill="1"/>
    <xf numFmtId="3" fontId="0" fillId="6" borderId="0" xfId="0" applyNumberFormat="1" applyFill="1"/>
    <xf numFmtId="0" fontId="12" fillId="3" borderId="5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2" fontId="0" fillId="7" borderId="0" xfId="0" applyNumberFormat="1" applyFill="1"/>
    <xf numFmtId="166" fontId="0" fillId="7" borderId="0" xfId="2" applyNumberFormat="1" applyFont="1" applyFill="1"/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166" fontId="0" fillId="0" borderId="2" xfId="2" applyNumberFormat="1" applyFont="1" applyBorder="1"/>
    <xf numFmtId="10" fontId="0" fillId="0" borderId="2" xfId="0" applyNumberFormat="1" applyBorder="1"/>
    <xf numFmtId="2" fontId="0" fillId="0" borderId="2" xfId="0" applyNumberFormat="1" applyBorder="1"/>
    <xf numFmtId="0" fontId="0" fillId="0" borderId="2" xfId="0" applyFill="1" applyBorder="1"/>
    <xf numFmtId="0" fontId="9" fillId="0" borderId="2" xfId="0" applyFont="1" applyBorder="1"/>
    <xf numFmtId="0" fontId="0" fillId="0" borderId="2" xfId="0" applyBorder="1" applyAlignment="1">
      <alignment horizontal="right"/>
    </xf>
    <xf numFmtId="9" fontId="0" fillId="0" borderId="2" xfId="0" applyNumberFormat="1" applyBorder="1"/>
    <xf numFmtId="0" fontId="14" fillId="0" borderId="0" xfId="0" applyFont="1"/>
    <xf numFmtId="0" fontId="12" fillId="3" borderId="2" xfId="0" applyFont="1" applyFill="1" applyBorder="1" applyAlignment="1">
      <alignment horizontal="center" vertical="center"/>
    </xf>
    <xf numFmtId="1" fontId="0" fillId="0" borderId="2" xfId="0" applyNumberFormat="1" applyBorder="1"/>
    <xf numFmtId="3" fontId="0" fillId="0" borderId="2" xfId="0" applyNumberFormat="1" applyBorder="1"/>
    <xf numFmtId="2" fontId="0" fillId="0" borderId="2" xfId="0" applyNumberFormat="1" applyFill="1" applyBorder="1"/>
    <xf numFmtId="0" fontId="9" fillId="0" borderId="2" xfId="0" applyFont="1" applyFill="1" applyBorder="1"/>
    <xf numFmtId="2" fontId="0" fillId="9" borderId="2" xfId="0" applyNumberFormat="1" applyFill="1" applyBorder="1"/>
    <xf numFmtId="0" fontId="0" fillId="9" borderId="2" xfId="0" applyFill="1" applyBorder="1"/>
    <xf numFmtId="166" fontId="0" fillId="9" borderId="2" xfId="2" applyNumberFormat="1" applyFont="1" applyFill="1" applyBorder="1"/>
    <xf numFmtId="3" fontId="0" fillId="9" borderId="2" xfId="0" applyNumberFormat="1" applyFill="1" applyBorder="1"/>
    <xf numFmtId="9" fontId="0" fillId="9" borderId="2" xfId="0" applyNumberFormat="1" applyFill="1" applyBorder="1"/>
    <xf numFmtId="10" fontId="0" fillId="9" borderId="2" xfId="0" applyNumberFormat="1" applyFill="1" applyBorder="1"/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3" fontId="0" fillId="0" borderId="2" xfId="0" quotePrefix="1" applyNumberFormat="1" applyBorder="1"/>
    <xf numFmtId="166" fontId="0" fillId="0" borderId="2" xfId="0" applyNumberFormat="1" applyBorder="1"/>
    <xf numFmtId="0" fontId="9" fillId="2" borderId="2" xfId="0" applyFont="1" applyFill="1" applyBorder="1"/>
    <xf numFmtId="43" fontId="9" fillId="2" borderId="2" xfId="0" applyNumberFormat="1" applyFont="1" applyFill="1" applyBorder="1"/>
    <xf numFmtId="0" fontId="0" fillId="10" borderId="2" xfId="0" applyFill="1" applyBorder="1"/>
    <xf numFmtId="0" fontId="0" fillId="0" borderId="2" xfId="0" applyFont="1" applyBorder="1"/>
    <xf numFmtId="166" fontId="8" fillId="0" borderId="2" xfId="2" applyNumberFormat="1" applyFont="1" applyBorder="1"/>
    <xf numFmtId="2" fontId="0" fillId="0" borderId="2" xfId="0" applyNumberFormat="1" applyFont="1" applyFill="1" applyBorder="1"/>
    <xf numFmtId="3" fontId="0" fillId="0" borderId="2" xfId="0" applyNumberFormat="1" applyFont="1" applyBorder="1" applyAlignment="1"/>
    <xf numFmtId="9" fontId="0" fillId="0" borderId="2" xfId="0" applyNumberFormat="1" applyFont="1" applyBorder="1"/>
    <xf numFmtId="10" fontId="0" fillId="0" borderId="2" xfId="0" applyNumberFormat="1" applyFont="1" applyBorder="1"/>
    <xf numFmtId="0" fontId="9" fillId="9" borderId="2" xfId="0" applyFont="1" applyFill="1" applyBorder="1"/>
    <xf numFmtId="2" fontId="9" fillId="0" borderId="2" xfId="0" applyNumberFormat="1" applyFont="1" applyBorder="1"/>
    <xf numFmtId="2" fontId="3" fillId="3" borderId="2" xfId="0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0" fillId="8" borderId="1" xfId="0" applyFill="1" applyBorder="1" applyAlignment="1">
      <alignment horizontal="center" wrapText="1"/>
    </xf>
    <xf numFmtId="0" fontId="0" fillId="8" borderId="5" xfId="0" applyFill="1" applyBorder="1" applyAlignment="1">
      <alignment horizontal="center" wrapText="1"/>
    </xf>
    <xf numFmtId="0" fontId="0" fillId="8" borderId="6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0" borderId="15" xfId="0" applyBorder="1" applyAlignment="1">
      <alignment horizontal="center" wrapText="1"/>
    </xf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arketscreener.com/stock-exchange/sectors/World-99/Technology-57/Software_IT_Services-20/Software_IT_Services-10/Internet_Services-30/E_commerce_Auction_Services-13/" TargetMode="External"/><Relationship Id="rId2" Type="http://schemas.openxmlformats.org/officeDocument/2006/relationships/hyperlink" Target="https://www.marketscreener.com/stock-exchange/sectors/World-99/Consumer_Cyclical-53/Retailers-40/Diversified_Retail-20/Department_Stores-10/Internet_Mail_Order_Department_Stores-13/" TargetMode="External"/><Relationship Id="rId1" Type="http://schemas.openxmlformats.org/officeDocument/2006/relationships/hyperlink" Target="https://www.marketscreener.com/REVOLVE-GROUP-LLC-59178690/company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secfilings.nasdaq.com/filingFrameset.asp?FilingID=13481791&amp;RcvdDate=6/7/2019&amp;CoName=REVOLVE%20GROUP%2C%20INC.&amp;FormType=424B4&amp;View=html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d31ex0fa3i203z.cloudfront.net/wp/en/wp-content/uploads/2019/04/190425_E_2019_4Q.pdf" TargetMode="External"/><Relationship Id="rId2" Type="http://schemas.openxmlformats.org/officeDocument/2006/relationships/hyperlink" Target="https://d31ex0fa3i203z.cloudfront.net/wp/en/wp-content/uploads/2019/04/190425_E_Consolidated-Financial-Results-FY2018.pdf" TargetMode="External"/><Relationship Id="rId1" Type="http://schemas.openxmlformats.org/officeDocument/2006/relationships/hyperlink" Target="http://secfilings.nasdaq.com/filingFrameset.asp?FilingID=13481791&amp;RcvdDate=6/7/2019&amp;CoName=REVOLVE%20GROUP%2C%20INC.&amp;FormType=424B4&amp;View=html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secfilings.nasdaq.com/filingFrameset.asp?FilingID=13481791&amp;RcvdDate=6/7/2019&amp;CoName=REVOLVE%20GROUP%2C%20INC.&amp;FormType=424B4&amp;View=html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aixinglobal.com/2019-06-19/growing-parade-of-china-tech-losers-line-up-for-new-york-listings-101428319.html" TargetMode="External"/><Relationship Id="rId1" Type="http://schemas.openxmlformats.org/officeDocument/2006/relationships/hyperlink" Target="https://seekingalpha.com/article/4270104-strong-debut-revolve-demonstrates-growing-interest-kol-led-e-commerce-chinese-peer-mogu-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opLeftCell="A10" workbookViewId="0">
      <selection activeCell="F27" sqref="F27"/>
    </sheetView>
  </sheetViews>
  <sheetFormatPr defaultRowHeight="14.4" x14ac:dyDescent="0.3"/>
  <cols>
    <col min="2" max="2" width="15" customWidth="1"/>
  </cols>
  <sheetData>
    <row r="1" spans="1:10" x14ac:dyDescent="0.3">
      <c r="A1" t="s">
        <v>0</v>
      </c>
    </row>
    <row r="2" spans="1:10" x14ac:dyDescent="0.3">
      <c r="B2" t="s">
        <v>2</v>
      </c>
    </row>
    <row r="3" spans="1:10" x14ac:dyDescent="0.3">
      <c r="B3" s="1" t="s">
        <v>1</v>
      </c>
    </row>
    <row r="4" spans="1:10" x14ac:dyDescent="0.3">
      <c r="A4" t="s">
        <v>3</v>
      </c>
      <c r="B4" s="4" t="s">
        <v>4</v>
      </c>
    </row>
    <row r="5" spans="1:10" x14ac:dyDescent="0.3">
      <c r="A5" t="s">
        <v>8</v>
      </c>
      <c r="B5" t="s">
        <v>5</v>
      </c>
    </row>
    <row r="7" spans="1:10" x14ac:dyDescent="0.3">
      <c r="B7" t="s">
        <v>7</v>
      </c>
    </row>
    <row r="8" spans="1:10" x14ac:dyDescent="0.3">
      <c r="B8" s="1" t="s">
        <v>6</v>
      </c>
    </row>
    <row r="9" spans="1:10" x14ac:dyDescent="0.3">
      <c r="A9" t="s">
        <v>3</v>
      </c>
      <c r="B9" s="4" t="s">
        <v>12</v>
      </c>
      <c r="C9" t="s">
        <v>13</v>
      </c>
    </row>
    <row r="10" spans="1:10" x14ac:dyDescent="0.3">
      <c r="A10" t="s">
        <v>8</v>
      </c>
      <c r="B10" t="s">
        <v>14</v>
      </c>
      <c r="C10" t="s">
        <v>15</v>
      </c>
      <c r="J10" t="s">
        <v>20</v>
      </c>
    </row>
    <row r="11" spans="1:10" x14ac:dyDescent="0.3">
      <c r="A11" t="s">
        <v>9</v>
      </c>
      <c r="B11" t="s">
        <v>25</v>
      </c>
      <c r="J11" t="s">
        <v>21</v>
      </c>
    </row>
    <row r="12" spans="1:10" x14ac:dyDescent="0.3">
      <c r="A12" t="s">
        <v>10</v>
      </c>
      <c r="B12" s="4" t="s">
        <v>16</v>
      </c>
    </row>
    <row r="13" spans="1:10" x14ac:dyDescent="0.3">
      <c r="A13" t="s">
        <v>11</v>
      </c>
      <c r="B13" t="s">
        <v>17</v>
      </c>
    </row>
    <row r="14" spans="1:10" x14ac:dyDescent="0.3">
      <c r="A14" t="s">
        <v>19</v>
      </c>
      <c r="B14" t="s">
        <v>22</v>
      </c>
    </row>
    <row r="15" spans="1:10" x14ac:dyDescent="0.3">
      <c r="A15" t="s">
        <v>26</v>
      </c>
      <c r="B15" t="s">
        <v>38</v>
      </c>
      <c r="C15" t="s">
        <v>39</v>
      </c>
    </row>
    <row r="16" spans="1:10" x14ac:dyDescent="0.3">
      <c r="A16" t="s">
        <v>26</v>
      </c>
      <c r="B16" t="s">
        <v>42</v>
      </c>
    </row>
    <row r="17" spans="1:2" x14ac:dyDescent="0.3">
      <c r="A17" t="s">
        <v>26</v>
      </c>
      <c r="B17" t="s">
        <v>40</v>
      </c>
    </row>
    <row r="19" spans="1:2" x14ac:dyDescent="0.3">
      <c r="B19" t="s">
        <v>24</v>
      </c>
    </row>
    <row r="20" spans="1:2" x14ac:dyDescent="0.3">
      <c r="B20" s="1" t="s">
        <v>23</v>
      </c>
    </row>
    <row r="21" spans="1:2" x14ac:dyDescent="0.3">
      <c r="A21" t="s">
        <v>3</v>
      </c>
      <c r="B21" s="4" t="s">
        <v>30</v>
      </c>
    </row>
    <row r="23" spans="1:2" x14ac:dyDescent="0.3">
      <c r="A23" t="s">
        <v>26</v>
      </c>
      <c r="B23" t="s">
        <v>37</v>
      </c>
    </row>
    <row r="24" spans="1:2" x14ac:dyDescent="0.3">
      <c r="A24" t="s">
        <v>26</v>
      </c>
      <c r="B24" t="s">
        <v>27</v>
      </c>
    </row>
    <row r="25" spans="1:2" x14ac:dyDescent="0.3">
      <c r="B25" t="s">
        <v>29</v>
      </c>
    </row>
    <row r="26" spans="1:2" x14ac:dyDescent="0.3">
      <c r="B26" t="s">
        <v>28</v>
      </c>
    </row>
    <row r="27" spans="1:2" x14ac:dyDescent="0.3">
      <c r="A27" t="s">
        <v>18</v>
      </c>
      <c r="B27" t="s">
        <v>31</v>
      </c>
    </row>
    <row r="28" spans="1:2" x14ac:dyDescent="0.3">
      <c r="B28" t="s">
        <v>32</v>
      </c>
    </row>
    <row r="30" spans="1:2" x14ac:dyDescent="0.3">
      <c r="A30" t="s">
        <v>33</v>
      </c>
      <c r="B30" t="s">
        <v>34</v>
      </c>
    </row>
    <row r="31" spans="1:2" x14ac:dyDescent="0.3">
      <c r="B31" s="2"/>
    </row>
    <row r="32" spans="1:2" x14ac:dyDescent="0.3">
      <c r="B32" s="3" t="s">
        <v>35</v>
      </c>
    </row>
    <row r="33" spans="2:2" x14ac:dyDescent="0.3">
      <c r="B33" s="2" t="s">
        <v>36</v>
      </c>
    </row>
  </sheetData>
  <hyperlinks>
    <hyperlink ref="B3" r:id="rId1" xr:uid="{A673B657-0919-4310-8EA1-45C0703D991C}"/>
    <hyperlink ref="B8" r:id="rId2" xr:uid="{B47945C3-C638-470C-9497-FCD5E0E43CAD}"/>
    <hyperlink ref="B20" r:id="rId3" xr:uid="{559FAB31-BEE0-42A9-BE09-B2CD5495B22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A6FB6-3547-4F45-A967-FB52D3EA3E73}">
  <dimension ref="A1:D8"/>
  <sheetViews>
    <sheetView workbookViewId="0">
      <selection activeCell="F27" sqref="F27"/>
    </sheetView>
  </sheetViews>
  <sheetFormatPr defaultRowHeight="14.4" x14ac:dyDescent="0.3"/>
  <cols>
    <col min="2" max="2" width="13.33203125" bestFit="1" customWidth="1"/>
    <col min="3" max="3" width="11.5546875" bestFit="1" customWidth="1"/>
  </cols>
  <sheetData>
    <row r="1" spans="1:4" x14ac:dyDescent="0.3">
      <c r="A1" t="s">
        <v>41</v>
      </c>
    </row>
    <row r="3" spans="1:4" x14ac:dyDescent="0.3">
      <c r="A3" t="s">
        <v>3</v>
      </c>
      <c r="B3" s="5" t="s">
        <v>4</v>
      </c>
      <c r="C3" t="s">
        <v>48</v>
      </c>
    </row>
    <row r="4" spans="1:4" x14ac:dyDescent="0.3">
      <c r="A4" t="s">
        <v>8</v>
      </c>
      <c r="B4" s="5" t="s">
        <v>12</v>
      </c>
      <c r="C4" t="s">
        <v>13</v>
      </c>
    </row>
    <row r="5" spans="1:4" x14ac:dyDescent="0.3">
      <c r="A5" t="s">
        <v>9</v>
      </c>
      <c r="B5" s="5" t="s">
        <v>16</v>
      </c>
      <c r="C5" t="s">
        <v>46</v>
      </c>
    </row>
    <row r="6" spans="1:4" x14ac:dyDescent="0.3">
      <c r="A6" t="s">
        <v>10</v>
      </c>
      <c r="B6" s="5" t="s">
        <v>44</v>
      </c>
      <c r="C6" t="s">
        <v>45</v>
      </c>
    </row>
    <row r="7" spans="1:4" x14ac:dyDescent="0.3">
      <c r="A7" t="s">
        <v>11</v>
      </c>
      <c r="B7" s="5" t="s">
        <v>43</v>
      </c>
      <c r="C7" t="s">
        <v>47</v>
      </c>
    </row>
    <row r="8" spans="1:4" x14ac:dyDescent="0.3">
      <c r="A8" s="5" t="s">
        <v>19</v>
      </c>
      <c r="B8" s="5" t="s">
        <v>49</v>
      </c>
      <c r="C8" t="s">
        <v>47</v>
      </c>
      <c r="D8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9B5A4-29B4-454C-933F-3FD5557A3041}">
  <dimension ref="A1:J30"/>
  <sheetViews>
    <sheetView zoomScaleNormal="100" workbookViewId="0">
      <selection activeCell="F27" sqref="F27"/>
    </sheetView>
  </sheetViews>
  <sheetFormatPr defaultRowHeight="14.4" x14ac:dyDescent="0.3"/>
  <cols>
    <col min="1" max="1" width="17.109375" bestFit="1" customWidth="1"/>
    <col min="2" max="2" width="20.88671875" bestFit="1" customWidth="1"/>
    <col min="3" max="3" width="19.109375" bestFit="1" customWidth="1"/>
    <col min="4" max="4" width="25" bestFit="1" customWidth="1"/>
    <col min="5" max="7" width="19.109375" bestFit="1" customWidth="1"/>
    <col min="8" max="8" width="15.6640625" bestFit="1" customWidth="1"/>
    <col min="9" max="9" width="16.6640625" bestFit="1" customWidth="1"/>
    <col min="10" max="11" width="18.6640625" bestFit="1" customWidth="1"/>
    <col min="12" max="12" width="20.109375" bestFit="1" customWidth="1"/>
    <col min="13" max="14" width="20.109375" customWidth="1"/>
    <col min="15" max="15" width="17.6640625" bestFit="1" customWidth="1"/>
    <col min="16" max="16" width="15.77734375" bestFit="1" customWidth="1"/>
    <col min="17" max="17" width="18.88671875" bestFit="1" customWidth="1"/>
    <col min="18" max="18" width="12.5546875" bestFit="1" customWidth="1"/>
  </cols>
  <sheetData>
    <row r="1" spans="1:10" x14ac:dyDescent="0.3">
      <c r="A1" t="s">
        <v>76</v>
      </c>
    </row>
    <row r="2" spans="1:10" x14ac:dyDescent="0.3">
      <c r="A2" s="11">
        <v>1</v>
      </c>
    </row>
    <row r="3" spans="1:10" x14ac:dyDescent="0.3">
      <c r="A3" s="11" t="s">
        <v>84</v>
      </c>
      <c r="B3" s="11" t="s">
        <v>59</v>
      </c>
      <c r="C3" s="12" t="s">
        <v>92</v>
      </c>
      <c r="D3" s="13" t="s">
        <v>93</v>
      </c>
      <c r="E3" s="13" t="s">
        <v>78</v>
      </c>
      <c r="F3" s="13" t="s">
        <v>79</v>
      </c>
      <c r="G3" s="13" t="s">
        <v>94</v>
      </c>
      <c r="H3" s="13" t="s">
        <v>83</v>
      </c>
      <c r="J3" t="s">
        <v>95</v>
      </c>
    </row>
    <row r="4" spans="1:10" x14ac:dyDescent="0.3">
      <c r="A4" s="15"/>
      <c r="F4" s="5"/>
      <c r="G4" s="14"/>
      <c r="H4" s="14"/>
      <c r="J4" t="s">
        <v>82</v>
      </c>
    </row>
    <row r="5" spans="1:10" x14ac:dyDescent="0.3">
      <c r="J5" t="s">
        <v>132</v>
      </c>
    </row>
    <row r="6" spans="1:10" x14ac:dyDescent="0.3">
      <c r="A6" s="13" t="s">
        <v>96</v>
      </c>
      <c r="J6" t="s">
        <v>133</v>
      </c>
    </row>
    <row r="7" spans="1:10" x14ac:dyDescent="0.3">
      <c r="A7" s="13" t="s">
        <v>88</v>
      </c>
      <c r="B7" s="13" t="s">
        <v>86</v>
      </c>
      <c r="C7" s="13" t="s">
        <v>87</v>
      </c>
      <c r="D7" s="13" t="s">
        <v>80</v>
      </c>
      <c r="G7" s="24"/>
    </row>
    <row r="8" spans="1:10" x14ac:dyDescent="0.3">
      <c r="A8" s="14"/>
      <c r="B8" s="14"/>
      <c r="C8" s="14"/>
      <c r="D8" s="14">
        <f>A8-B8+C8</f>
        <v>0</v>
      </c>
      <c r="G8" s="24"/>
    </row>
    <row r="9" spans="1:10" x14ac:dyDescent="0.3">
      <c r="A9" s="13" t="s">
        <v>106</v>
      </c>
      <c r="G9" s="24"/>
    </row>
    <row r="10" spans="1:10" x14ac:dyDescent="0.3">
      <c r="A10" s="13" t="s">
        <v>88</v>
      </c>
      <c r="B10" s="13" t="s">
        <v>86</v>
      </c>
      <c r="C10" s="13" t="s">
        <v>87</v>
      </c>
      <c r="D10" s="13" t="s">
        <v>62</v>
      </c>
      <c r="G10" s="24"/>
    </row>
    <row r="11" spans="1:10" x14ac:dyDescent="0.3">
      <c r="A11" s="22"/>
      <c r="D11" s="23" t="e">
        <f>(A11-B11+C11)/D8</f>
        <v>#DIV/0!</v>
      </c>
      <c r="G11" s="24"/>
    </row>
    <row r="13" spans="1:10" x14ac:dyDescent="0.3">
      <c r="A13" s="13" t="s">
        <v>89</v>
      </c>
    </row>
    <row r="14" spans="1:10" x14ac:dyDescent="0.3">
      <c r="A14" s="13" t="s">
        <v>88</v>
      </c>
      <c r="B14" s="13" t="s">
        <v>86</v>
      </c>
      <c r="C14" s="13" t="s">
        <v>87</v>
      </c>
      <c r="D14" s="13" t="s">
        <v>104</v>
      </c>
      <c r="E14" s="13" t="s">
        <v>63</v>
      </c>
    </row>
    <row r="15" spans="1:10" x14ac:dyDescent="0.3">
      <c r="D15">
        <f>A15-B15+C15</f>
        <v>0</v>
      </c>
      <c r="E15" s="23" t="e">
        <f>D15/D8</f>
        <v>#DIV/0!</v>
      </c>
    </row>
    <row r="17" spans="1:6" x14ac:dyDescent="0.3">
      <c r="A17" s="13" t="s">
        <v>90</v>
      </c>
    </row>
    <row r="18" spans="1:6" x14ac:dyDescent="0.3">
      <c r="A18" s="13" t="s">
        <v>88</v>
      </c>
      <c r="B18" s="13" t="s">
        <v>86</v>
      </c>
      <c r="C18" s="13" t="s">
        <v>87</v>
      </c>
      <c r="D18" s="13" t="s">
        <v>105</v>
      </c>
      <c r="E18" s="13" t="s">
        <v>81</v>
      </c>
      <c r="F18" t="s">
        <v>139</v>
      </c>
    </row>
    <row r="19" spans="1:6" x14ac:dyDescent="0.3">
      <c r="D19">
        <f>(A19-B19+C19)</f>
        <v>0</v>
      </c>
      <c r="E19">
        <f>D15-D19</f>
        <v>0</v>
      </c>
    </row>
    <row r="21" spans="1:6" x14ac:dyDescent="0.3">
      <c r="A21" s="13" t="s">
        <v>97</v>
      </c>
    </row>
    <row r="22" spans="1:6" x14ac:dyDescent="0.3">
      <c r="A22" s="13" t="s">
        <v>88</v>
      </c>
      <c r="B22" s="13" t="s">
        <v>86</v>
      </c>
      <c r="C22" s="13" t="s">
        <v>87</v>
      </c>
      <c r="D22" s="13" t="s">
        <v>98</v>
      </c>
    </row>
    <row r="23" spans="1:6" x14ac:dyDescent="0.3">
      <c r="D23" s="14">
        <f>A23-B23+C23</f>
        <v>0</v>
      </c>
    </row>
    <row r="25" spans="1:6" x14ac:dyDescent="0.3">
      <c r="A25" s="17" t="s">
        <v>77</v>
      </c>
    </row>
    <row r="26" spans="1:6" x14ac:dyDescent="0.3">
      <c r="A26" s="34" t="s">
        <v>135</v>
      </c>
      <c r="B26" s="12" t="s">
        <v>107</v>
      </c>
      <c r="C26" s="13" t="s">
        <v>60</v>
      </c>
      <c r="D26" s="13" t="s">
        <v>99</v>
      </c>
      <c r="E26" s="13" t="s">
        <v>69</v>
      </c>
    </row>
    <row r="27" spans="1:6" x14ac:dyDescent="0.3">
      <c r="C27" s="19" t="e">
        <f>B27/D23</f>
        <v>#DIV/0!</v>
      </c>
      <c r="D27" s="20">
        <f>B27+F4-E4</f>
        <v>0</v>
      </c>
      <c r="E27" s="19" t="e">
        <f>D27/E19</f>
        <v>#DIV/0!</v>
      </c>
    </row>
    <row r="28" spans="1:6" x14ac:dyDescent="0.3">
      <c r="A28" s="20"/>
    </row>
    <row r="29" spans="1:6" x14ac:dyDescent="0.3">
      <c r="A29" s="13" t="s">
        <v>103</v>
      </c>
      <c r="B29" s="13" t="s">
        <v>102</v>
      </c>
      <c r="C29" s="13" t="s">
        <v>101</v>
      </c>
      <c r="D29" s="13" t="s">
        <v>61</v>
      </c>
    </row>
    <row r="30" spans="1:6" x14ac:dyDescent="0.3">
      <c r="D30" s="25" t="e">
        <f>(((B30-A30)/A30)+((C30-B30)/B30))/2</f>
        <v>#DIV/0!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C76C3-7D3C-4B4D-8F64-701C1AF02B85}">
  <dimension ref="A2:N27"/>
  <sheetViews>
    <sheetView tabSelected="1" zoomScaleNormal="100" workbookViewId="0">
      <selection activeCell="G14" sqref="G14:N27"/>
    </sheetView>
  </sheetViews>
  <sheetFormatPr defaultRowHeight="14.4" x14ac:dyDescent="0.3"/>
  <cols>
    <col min="1" max="1" width="3.6640625" customWidth="1"/>
    <col min="2" max="2" width="21.6640625" customWidth="1"/>
    <col min="3" max="3" width="15.6640625" bestFit="1" customWidth="1"/>
    <col min="4" max="4" width="10.5546875" bestFit="1" customWidth="1"/>
    <col min="5" max="5" width="10.21875" bestFit="1" customWidth="1"/>
    <col min="6" max="6" width="11" bestFit="1" customWidth="1"/>
    <col min="7" max="7" width="18.33203125" bestFit="1" customWidth="1"/>
    <col min="8" max="8" width="18.88671875" bestFit="1" customWidth="1"/>
    <col min="9" max="9" width="12.5546875" bestFit="1" customWidth="1"/>
    <col min="10" max="10" width="20.109375" bestFit="1" customWidth="1"/>
    <col min="11" max="11" width="17.6640625" bestFit="1" customWidth="1"/>
    <col min="12" max="12" width="14" bestFit="1" customWidth="1"/>
    <col min="13" max="13" width="12.109375" bestFit="1" customWidth="1"/>
    <col min="14" max="14" width="10" bestFit="1" customWidth="1"/>
  </cols>
  <sheetData>
    <row r="2" spans="1:14" x14ac:dyDescent="0.3">
      <c r="B2" t="s">
        <v>76</v>
      </c>
    </row>
    <row r="3" spans="1:14" x14ac:dyDescent="0.3">
      <c r="B3" s="6" t="s">
        <v>180</v>
      </c>
      <c r="G3" s="16" t="s">
        <v>181</v>
      </c>
      <c r="J3" s="94" t="s">
        <v>182</v>
      </c>
      <c r="K3" s="94"/>
    </row>
    <row r="4" spans="1:14" x14ac:dyDescent="0.3">
      <c r="B4" s="6" t="s">
        <v>59</v>
      </c>
      <c r="C4" s="39" t="s">
        <v>92</v>
      </c>
      <c r="D4" s="39" t="s">
        <v>93</v>
      </c>
      <c r="E4" s="39" t="s">
        <v>166</v>
      </c>
      <c r="F4" s="39" t="s">
        <v>144</v>
      </c>
      <c r="G4" s="52" t="s">
        <v>173</v>
      </c>
      <c r="H4" s="39" t="s">
        <v>60</v>
      </c>
      <c r="I4" s="39" t="s">
        <v>69</v>
      </c>
      <c r="J4" s="39" t="s">
        <v>80</v>
      </c>
      <c r="K4" s="39" t="s">
        <v>81</v>
      </c>
      <c r="L4" s="39" t="s">
        <v>61</v>
      </c>
      <c r="M4" s="39" t="s">
        <v>62</v>
      </c>
      <c r="N4" s="39" t="s">
        <v>63</v>
      </c>
    </row>
    <row r="5" spans="1:14" x14ac:dyDescent="0.3">
      <c r="B5" s="48" t="s">
        <v>16</v>
      </c>
      <c r="C5" s="42" t="str">
        <f>ASOS!C4</f>
        <v>LON: ASC</v>
      </c>
      <c r="D5" s="42" t="s">
        <v>85</v>
      </c>
      <c r="E5" s="42" t="s">
        <v>161</v>
      </c>
      <c r="F5" s="53">
        <f>ASOS!B24</f>
        <v>2179.9290023999997</v>
      </c>
      <c r="G5" s="53">
        <f>F5*1.25</f>
        <v>2724.9112529999998</v>
      </c>
      <c r="H5" s="46">
        <f>ASOS!C24</f>
        <v>35.795221714285709</v>
      </c>
      <c r="I5" s="46">
        <f>ASOS!E24</f>
        <v>22.06369123108384</v>
      </c>
      <c r="J5" s="54">
        <f>ASOS!D8</f>
        <v>2573.7000000000003</v>
      </c>
      <c r="K5" s="42">
        <f>ASOS!E16</f>
        <v>97.800000000000011</v>
      </c>
      <c r="L5" s="50">
        <f>ASOS!D27</f>
        <v>0.29397869721715436</v>
      </c>
      <c r="M5" s="45">
        <f>ASOS!D31</f>
        <v>0.50806232272603635</v>
      </c>
      <c r="N5" s="45">
        <f>ASOS!E12</f>
        <v>2.9801453160819051E-2</v>
      </c>
    </row>
    <row r="6" spans="1:14" x14ac:dyDescent="0.3">
      <c r="B6" s="48" t="s">
        <v>114</v>
      </c>
      <c r="C6" s="42" t="str">
        <f>Boohoo!C4</f>
        <v>LON: BOO</v>
      </c>
      <c r="D6" s="42" t="str">
        <f>Boohoo!D4</f>
        <v>£m</v>
      </c>
      <c r="E6" s="42" t="s">
        <v>167</v>
      </c>
      <c r="F6" s="44">
        <f>Boohoo!B24</f>
        <v>2419057.6705279998</v>
      </c>
      <c r="G6" s="44">
        <f>F6*1.25/1000</f>
        <v>3023.82208816</v>
      </c>
      <c r="H6" s="46">
        <f>Boohoo!C24</f>
        <v>51.08778421845367</v>
      </c>
      <c r="I6" s="46">
        <f>Boohoo!E24</f>
        <v>30.693098862660289</v>
      </c>
      <c r="J6" s="54">
        <f>Boohoo!D8</f>
        <v>856920</v>
      </c>
      <c r="K6" s="54">
        <f>Boohoo!E16</f>
        <v>72601</v>
      </c>
      <c r="L6" s="50">
        <f>Boohoo!D27</f>
        <v>0.72300787522536847</v>
      </c>
      <c r="M6" s="45">
        <f>Boohoo!D31</f>
        <v>0.54730196517761287</v>
      </c>
      <c r="N6" s="45">
        <f>Boohoo!E12</f>
        <v>6.8477804229099562E-2</v>
      </c>
    </row>
    <row r="7" spans="1:14" x14ac:dyDescent="0.3">
      <c r="B7" s="48" t="s">
        <v>145</v>
      </c>
      <c r="C7" s="42" t="str">
        <f>Boozt!C4</f>
        <v>STO: BOOZT</v>
      </c>
      <c r="D7" s="42" t="str">
        <f>Boozt!D4</f>
        <v>SEK</v>
      </c>
      <c r="E7" s="42" t="s">
        <v>161</v>
      </c>
      <c r="F7" s="53">
        <f>Boozt!B24</f>
        <v>2864.4424204000002</v>
      </c>
      <c r="G7" s="53">
        <f>F7*0.11</f>
        <v>315.08866624400002</v>
      </c>
      <c r="H7" s="46">
        <f>Boozt!C24</f>
        <v>85.251262511904784</v>
      </c>
      <c r="I7" s="55">
        <f>Boozt!E24</f>
        <v>23.107169857019812</v>
      </c>
      <c r="J7" s="54">
        <f>Boozt!D8</f>
        <v>2944.5</v>
      </c>
      <c r="K7" s="42">
        <f>Boozt!E16</f>
        <v>116.1</v>
      </c>
      <c r="L7" s="50">
        <f>Boozt!D27</f>
        <v>0.41233864550729843</v>
      </c>
      <c r="M7" s="45">
        <f>Boozt!D31</f>
        <v>0.39561895058583796</v>
      </c>
      <c r="N7" s="45">
        <f>Boozt!E12</f>
        <v>1.8169468500594328E-2</v>
      </c>
    </row>
    <row r="8" spans="1:14" x14ac:dyDescent="0.3">
      <c r="B8" s="56" t="s">
        <v>157</v>
      </c>
      <c r="C8" s="42" t="str">
        <f>'Secoo Holding Limited'!C4</f>
        <v>NASDAQ: SECO</v>
      </c>
      <c r="D8" s="42" t="str">
        <f>'Secoo Holding Limited'!D4</f>
        <v>USD</v>
      </c>
      <c r="E8" s="42" t="s">
        <v>167</v>
      </c>
      <c r="F8" s="44">
        <f>'Secoo Holding Limited'!B31</f>
        <v>182135.94274999999</v>
      </c>
      <c r="G8" s="44">
        <f>F8/1000</f>
        <v>182.13594275</v>
      </c>
      <c r="H8" s="46">
        <f>'Secoo Holding Limited'!C31</f>
        <v>8.9534689811970001</v>
      </c>
      <c r="I8" s="55">
        <f>'Secoo Holding Limited'!E31</f>
        <v>7.8357945905130224</v>
      </c>
      <c r="J8" s="54">
        <f>'Secoo Holding Limited'!D8</f>
        <v>838353.05</v>
      </c>
      <c r="K8" s="54">
        <f>'Secoo Holding Limited'!E23</f>
        <v>34234.300000000003</v>
      </c>
      <c r="L8" s="50">
        <f>'Secoo Holding Limited'!D11</f>
        <v>0.44120824085844146</v>
      </c>
      <c r="M8" s="45">
        <f>'Secoo Holding Limited'!D15</f>
        <v>0.18703337454309971</v>
      </c>
      <c r="N8" s="45">
        <f>'Secoo Holding Limited'!E19</f>
        <v>3.7671837658370774E-2</v>
      </c>
    </row>
    <row r="9" spans="1:14" x14ac:dyDescent="0.3">
      <c r="B9" s="56" t="s">
        <v>158</v>
      </c>
      <c r="C9" s="42" t="str">
        <f>Zozo!C4</f>
        <v>TYO: 3092</v>
      </c>
      <c r="D9" s="42" t="str">
        <f>Zozo!D4</f>
        <v>Yen</v>
      </c>
      <c r="E9" s="42" t="s">
        <v>161</v>
      </c>
      <c r="F9" s="44">
        <f>Zozo!B31</f>
        <v>584869.86690000002</v>
      </c>
      <c r="G9" s="44">
        <f>F9*0.0093</f>
        <v>5439.2897621699994</v>
      </c>
      <c r="H9" s="44">
        <f>Zozo!C31</f>
        <v>36.588668558023151</v>
      </c>
      <c r="I9" s="55">
        <f>Zozo!E31</f>
        <v>21.169296064957141</v>
      </c>
      <c r="J9" s="54">
        <f>Zozo!D8</f>
        <v>118405</v>
      </c>
      <c r="K9" s="54">
        <f>Zozo!E23</f>
        <v>27649</v>
      </c>
      <c r="L9" s="50">
        <f>Zozo!D11</f>
        <v>0.24570333696178684</v>
      </c>
      <c r="M9" s="45">
        <f>Zozo!D15</f>
        <v>0.8864659431611841</v>
      </c>
      <c r="N9" s="45">
        <f>Zozo!E19</f>
        <v>0.21666314767112876</v>
      </c>
    </row>
    <row r="10" spans="1:14" x14ac:dyDescent="0.3">
      <c r="B10" s="56"/>
      <c r="C10" s="42"/>
      <c r="D10" s="42"/>
      <c r="E10" s="42"/>
      <c r="F10" s="44"/>
      <c r="G10" s="44"/>
      <c r="H10" s="44"/>
      <c r="I10" s="55"/>
      <c r="J10" s="54"/>
      <c r="K10" s="54"/>
      <c r="L10" s="50"/>
      <c r="M10" s="45"/>
      <c r="N10" s="45"/>
    </row>
    <row r="11" spans="1:14" x14ac:dyDescent="0.3">
      <c r="A11" s="16"/>
      <c r="B11" s="76" t="s">
        <v>49</v>
      </c>
      <c r="C11" s="58" t="str">
        <f>'Mogu Inc'!C4</f>
        <v>NYSE: MOGU</v>
      </c>
      <c r="D11" s="58" t="str">
        <f>'Mogu Inc'!D4</f>
        <v>USD</v>
      </c>
      <c r="E11" s="58" t="s">
        <v>167</v>
      </c>
      <c r="F11" s="59">
        <f>'Mogu Inc'!B24</f>
        <v>3407035.9950900003</v>
      </c>
      <c r="G11" s="59">
        <f>F11/1000</f>
        <v>3407.0359950900001</v>
      </c>
      <c r="H11" s="57">
        <f>'Mogu Inc'!C24</f>
        <v>-21.068671859613758</v>
      </c>
      <c r="I11" s="57">
        <f>'Mogu Inc'!E24</f>
        <v>-58.695374420034675</v>
      </c>
      <c r="J11" s="60">
        <f>'Mogu Inc'!D8</f>
        <v>160072</v>
      </c>
      <c r="K11" s="58">
        <f>'Mogu Inc'!E16</f>
        <v>-54805</v>
      </c>
      <c r="L11" s="61">
        <f>'Mogu Inc'!D27</f>
        <v>0.24961480904109273</v>
      </c>
      <c r="M11" s="62">
        <f>'Mogu Inc'!D31</f>
        <v>1.559298315757909E-2</v>
      </c>
      <c r="N11" s="62">
        <f>'Mogu Inc'!E12</f>
        <v>-0.53449072917187268</v>
      </c>
    </row>
    <row r="12" spans="1:14" x14ac:dyDescent="0.3">
      <c r="A12" s="16"/>
      <c r="B12" s="56" t="s">
        <v>100</v>
      </c>
      <c r="C12" s="70" t="s">
        <v>174</v>
      </c>
      <c r="D12" s="70" t="s">
        <v>120</v>
      </c>
      <c r="E12" s="70" t="s">
        <v>167</v>
      </c>
      <c r="F12" s="71">
        <f>'Revolve Group'!A24</f>
        <v>2530000</v>
      </c>
      <c r="G12" s="71">
        <f>F12/1000</f>
        <v>2530</v>
      </c>
      <c r="H12" s="71">
        <f>'Revolve Group'!B24</f>
        <v>83.586626139817625</v>
      </c>
      <c r="I12" s="72">
        <f>'Revolve Group'!D24</f>
        <v>56.846912122106886</v>
      </c>
      <c r="J12" s="73">
        <f>'Revolve Group'!D8</f>
        <v>522777</v>
      </c>
      <c r="K12" s="73">
        <f>'Revolve Group'!E16</f>
        <v>44027</v>
      </c>
      <c r="L12" s="74">
        <f>'Revolve Group'!D27</f>
        <v>0.26417842866897651</v>
      </c>
      <c r="M12" s="75">
        <f>'Revolve Group'!D31</f>
        <v>0.5348877245938517</v>
      </c>
      <c r="N12" s="75">
        <f>'Revolve Group'!E12</f>
        <v>7.8798416915816877E-2</v>
      </c>
    </row>
    <row r="13" spans="1:14" ht="15" thickBot="1" x14ac:dyDescent="0.35">
      <c r="B13" s="51" t="s">
        <v>169</v>
      </c>
    </row>
    <row r="14" spans="1:14" ht="18" customHeight="1" x14ac:dyDescent="0.3">
      <c r="G14" s="79" t="s">
        <v>179</v>
      </c>
      <c r="H14" s="80"/>
      <c r="I14" s="80"/>
      <c r="J14" s="80"/>
      <c r="K14" s="80"/>
      <c r="L14" s="80"/>
      <c r="M14" s="80"/>
      <c r="N14" s="81"/>
    </row>
    <row r="15" spans="1:14" ht="14.4" customHeight="1" x14ac:dyDescent="0.3">
      <c r="B15" s="39" t="s">
        <v>64</v>
      </c>
      <c r="C15" s="63" t="s">
        <v>65</v>
      </c>
      <c r="D15" s="78" t="s">
        <v>66</v>
      </c>
      <c r="E15" s="64" t="s">
        <v>67</v>
      </c>
      <c r="G15" s="82"/>
      <c r="H15" s="83"/>
      <c r="I15" s="83"/>
      <c r="J15" s="83"/>
      <c r="K15" s="83"/>
      <c r="L15" s="83"/>
      <c r="M15" s="83"/>
      <c r="N15" s="84"/>
    </row>
    <row r="16" spans="1:14" ht="14.4" customHeight="1" x14ac:dyDescent="0.3">
      <c r="B16" s="42" t="s">
        <v>170</v>
      </c>
      <c r="C16" s="46">
        <f>MIN(I5:I9)</f>
        <v>7.8357945905130224</v>
      </c>
      <c r="D16" s="77">
        <f>MEDIAN(I5:I9)</f>
        <v>22.06369123108384</v>
      </c>
      <c r="E16" s="46">
        <f>MAX(I5:I9)</f>
        <v>30.693098862660289</v>
      </c>
      <c r="G16" s="82"/>
      <c r="H16" s="83"/>
      <c r="I16" s="83"/>
      <c r="J16" s="83"/>
      <c r="K16" s="83"/>
      <c r="L16" s="83"/>
      <c r="M16" s="83"/>
      <c r="N16" s="84"/>
    </row>
    <row r="17" spans="2:14" ht="14.4" customHeight="1" x14ac:dyDescent="0.3">
      <c r="B17" s="42"/>
      <c r="C17" s="46"/>
      <c r="D17" s="46"/>
      <c r="E17" s="46"/>
      <c r="G17" s="82"/>
      <c r="H17" s="83"/>
      <c r="I17" s="83"/>
      <c r="J17" s="83"/>
      <c r="K17" s="83"/>
      <c r="L17" s="83"/>
      <c r="M17" s="83"/>
      <c r="N17" s="84"/>
    </row>
    <row r="18" spans="2:14" ht="14.4" customHeight="1" x14ac:dyDescent="0.3">
      <c r="B18" s="42" t="s">
        <v>68</v>
      </c>
      <c r="C18" s="42"/>
      <c r="D18" s="65">
        <f>'Revolve Group'!E16</f>
        <v>44027</v>
      </c>
      <c r="E18" s="54">
        <f>'Revolve Group'!E16</f>
        <v>44027</v>
      </c>
      <c r="G18" s="82"/>
      <c r="H18" s="83"/>
      <c r="I18" s="83"/>
      <c r="J18" s="83"/>
      <c r="K18" s="83"/>
      <c r="L18" s="83"/>
      <c r="M18" s="83"/>
      <c r="N18" s="84"/>
    </row>
    <row r="19" spans="2:14" ht="14.4" customHeight="1" x14ac:dyDescent="0.3">
      <c r="B19" s="42" t="s">
        <v>171</v>
      </c>
      <c r="C19" s="42"/>
      <c r="D19" s="77">
        <f>D16</f>
        <v>22.06369123108384</v>
      </c>
      <c r="E19" s="46">
        <f>I6</f>
        <v>30.693098862660289</v>
      </c>
      <c r="G19" s="82"/>
      <c r="H19" s="83"/>
      <c r="I19" s="83"/>
      <c r="J19" s="83"/>
      <c r="K19" s="83"/>
      <c r="L19" s="83"/>
      <c r="M19" s="83"/>
      <c r="N19" s="84"/>
    </row>
    <row r="20" spans="2:14" ht="14.4" customHeight="1" x14ac:dyDescent="0.3">
      <c r="B20" s="42" t="s">
        <v>70</v>
      </c>
      <c r="C20" s="42"/>
      <c r="D20" s="44">
        <f>D19*D18</f>
        <v>971398.13383092824</v>
      </c>
      <c r="E20" s="44">
        <f>E19*E18</f>
        <v>1351325.0636263445</v>
      </c>
      <c r="G20" s="82"/>
      <c r="H20" s="83"/>
      <c r="I20" s="83"/>
      <c r="J20" s="83"/>
      <c r="K20" s="83"/>
      <c r="L20" s="83"/>
      <c r="M20" s="83"/>
      <c r="N20" s="84"/>
    </row>
    <row r="21" spans="2:14" ht="14.4" customHeight="1" x14ac:dyDescent="0.3">
      <c r="B21" s="42" t="s">
        <v>71</v>
      </c>
      <c r="C21" s="42"/>
      <c r="D21" s="54">
        <f>'Revolve Group'!E4</f>
        <v>27201</v>
      </c>
      <c r="E21" s="54">
        <f>'Revolve Group'!E4</f>
        <v>27201</v>
      </c>
      <c r="G21" s="82"/>
      <c r="H21" s="83"/>
      <c r="I21" s="83"/>
      <c r="J21" s="83"/>
      <c r="K21" s="83"/>
      <c r="L21" s="83"/>
      <c r="M21" s="83"/>
      <c r="N21" s="84"/>
    </row>
    <row r="22" spans="2:14" ht="14.4" customHeight="1" x14ac:dyDescent="0.3">
      <c r="B22" s="42" t="s">
        <v>72</v>
      </c>
      <c r="C22" s="42"/>
      <c r="D22" s="42">
        <f>'Revolve Group'!F4</f>
        <v>0</v>
      </c>
      <c r="E22" s="42">
        <f>'Revolve Group'!F4</f>
        <v>0</v>
      </c>
      <c r="G22" s="82"/>
      <c r="H22" s="83"/>
      <c r="I22" s="83"/>
      <c r="J22" s="83"/>
      <c r="K22" s="83"/>
      <c r="L22" s="83"/>
      <c r="M22" s="83"/>
      <c r="N22" s="84"/>
    </row>
    <row r="23" spans="2:14" ht="14.4" customHeight="1" x14ac:dyDescent="0.3">
      <c r="B23" s="42"/>
      <c r="C23" s="42"/>
      <c r="D23" s="42"/>
      <c r="E23" s="42"/>
      <c r="G23" s="82"/>
      <c r="H23" s="83"/>
      <c r="I23" s="83"/>
      <c r="J23" s="83"/>
      <c r="K23" s="83"/>
      <c r="L23" s="83"/>
      <c r="M23" s="83"/>
      <c r="N23" s="84"/>
    </row>
    <row r="24" spans="2:14" ht="14.4" customHeight="1" x14ac:dyDescent="0.3">
      <c r="B24" s="42" t="s">
        <v>73</v>
      </c>
      <c r="C24" s="42"/>
      <c r="D24" s="66">
        <f>D20-D21+D22</f>
        <v>944197.13383092824</v>
      </c>
      <c r="E24" s="66">
        <f>E20-E21+E22</f>
        <v>1324124.0636263445</v>
      </c>
      <c r="G24" s="82"/>
      <c r="H24" s="83"/>
      <c r="I24" s="83"/>
      <c r="J24" s="83"/>
      <c r="K24" s="83"/>
      <c r="L24" s="83"/>
      <c r="M24" s="83"/>
      <c r="N24" s="84"/>
    </row>
    <row r="25" spans="2:14" ht="14.4" customHeight="1" x14ac:dyDescent="0.3">
      <c r="B25" s="42" t="s">
        <v>74</v>
      </c>
      <c r="C25" s="42"/>
      <c r="D25" s="54">
        <f>'Revolve Group'!G4</f>
        <v>41936</v>
      </c>
      <c r="E25" s="54">
        <f>'Revolve Group'!G4</f>
        <v>41936</v>
      </c>
      <c r="G25" s="82"/>
      <c r="H25" s="83"/>
      <c r="I25" s="83"/>
      <c r="J25" s="83"/>
      <c r="K25" s="83"/>
      <c r="L25" s="83"/>
      <c r="M25" s="83"/>
      <c r="N25" s="84"/>
    </row>
    <row r="26" spans="2:14" ht="14.4" customHeight="1" x14ac:dyDescent="0.3">
      <c r="B26" s="67" t="s">
        <v>75</v>
      </c>
      <c r="C26" s="42"/>
      <c r="D26" s="68">
        <f>D24/D25</f>
        <v>22.515193004362082</v>
      </c>
      <c r="E26" s="68">
        <f>E24/E25</f>
        <v>31.574877518751062</v>
      </c>
      <c r="G26" s="82"/>
      <c r="H26" s="83"/>
      <c r="I26" s="83"/>
      <c r="J26" s="83"/>
      <c r="K26" s="83"/>
      <c r="L26" s="83"/>
      <c r="M26" s="83"/>
      <c r="N26" s="84"/>
    </row>
    <row r="27" spans="2:14" ht="14.4" customHeight="1" thickBot="1" x14ac:dyDescent="0.35">
      <c r="B27" s="69" t="s">
        <v>172</v>
      </c>
      <c r="C27" s="42"/>
      <c r="D27" s="69">
        <v>37.729999999999997</v>
      </c>
      <c r="E27" s="69">
        <v>37.729999999999997</v>
      </c>
      <c r="G27" s="85"/>
      <c r="H27" s="86"/>
      <c r="I27" s="86"/>
      <c r="J27" s="86"/>
      <c r="K27" s="86"/>
      <c r="L27" s="86"/>
      <c r="M27" s="86"/>
      <c r="N27" s="87"/>
    </row>
  </sheetData>
  <mergeCells count="2">
    <mergeCell ref="G14:N27"/>
    <mergeCell ref="J3:K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0DE70-6876-401D-92FB-C11AB3324CC3}">
  <dimension ref="A1:J31"/>
  <sheetViews>
    <sheetView zoomScaleNormal="100" workbookViewId="0">
      <selection activeCell="C28" sqref="C28"/>
    </sheetView>
  </sheetViews>
  <sheetFormatPr defaultRowHeight="14.4" x14ac:dyDescent="0.3"/>
  <cols>
    <col min="1" max="1" width="20.33203125" bestFit="1" customWidth="1"/>
    <col min="2" max="2" width="20.88671875" bestFit="1" customWidth="1"/>
    <col min="3" max="3" width="19.109375" bestFit="1" customWidth="1"/>
    <col min="4" max="4" width="25" bestFit="1" customWidth="1"/>
    <col min="5" max="7" width="19.109375" bestFit="1" customWidth="1"/>
    <col min="8" max="8" width="15.6640625" bestFit="1" customWidth="1"/>
    <col min="9" max="9" width="16.6640625" bestFit="1" customWidth="1"/>
    <col min="10" max="11" width="18.6640625" bestFit="1" customWidth="1"/>
    <col min="12" max="12" width="20.109375" bestFit="1" customWidth="1"/>
    <col min="13" max="14" width="20.109375" customWidth="1"/>
    <col min="15" max="15" width="17.6640625" bestFit="1" customWidth="1"/>
    <col min="16" max="16" width="15.77734375" bestFit="1" customWidth="1"/>
    <col min="17" max="17" width="18.88671875" bestFit="1" customWidth="1"/>
    <col min="18" max="18" width="12.5546875" bestFit="1" customWidth="1"/>
  </cols>
  <sheetData>
    <row r="1" spans="1:10" x14ac:dyDescent="0.3">
      <c r="A1" t="s">
        <v>76</v>
      </c>
    </row>
    <row r="2" spans="1:10" x14ac:dyDescent="0.3">
      <c r="A2" s="11">
        <v>1</v>
      </c>
      <c r="D2" t="s">
        <v>129</v>
      </c>
    </row>
    <row r="3" spans="1:10" x14ac:dyDescent="0.3">
      <c r="A3" s="11" t="s">
        <v>84</v>
      </c>
      <c r="B3" s="11" t="s">
        <v>59</v>
      </c>
      <c r="C3" s="12" t="s">
        <v>92</v>
      </c>
      <c r="D3" s="13" t="s">
        <v>93</v>
      </c>
      <c r="E3" s="13" t="s">
        <v>78</v>
      </c>
      <c r="F3" s="13" t="s">
        <v>79</v>
      </c>
      <c r="G3" s="13" t="s">
        <v>94</v>
      </c>
      <c r="H3" s="13" t="s">
        <v>83</v>
      </c>
    </row>
    <row r="4" spans="1:10" x14ac:dyDescent="0.3">
      <c r="A4" s="15" t="s">
        <v>115</v>
      </c>
      <c r="B4" t="s">
        <v>16</v>
      </c>
      <c r="C4" t="s">
        <v>91</v>
      </c>
      <c r="D4" t="s">
        <v>85</v>
      </c>
      <c r="E4">
        <v>22.1</v>
      </c>
      <c r="F4" s="21">
        <v>0</v>
      </c>
      <c r="G4" s="26">
        <v>83522184</v>
      </c>
      <c r="H4" s="14">
        <v>83789884</v>
      </c>
    </row>
    <row r="5" spans="1:10" x14ac:dyDescent="0.3">
      <c r="F5" t="s">
        <v>109</v>
      </c>
    </row>
    <row r="6" spans="1:10" x14ac:dyDescent="0.3">
      <c r="A6" s="13" t="s">
        <v>96</v>
      </c>
      <c r="G6">
        <v>26.15</v>
      </c>
      <c r="H6" t="s">
        <v>110</v>
      </c>
    </row>
    <row r="7" spans="1:10" x14ac:dyDescent="0.3">
      <c r="A7" s="13" t="s">
        <v>88</v>
      </c>
      <c r="B7" s="13" t="s">
        <v>86</v>
      </c>
      <c r="C7" s="13" t="s">
        <v>87</v>
      </c>
      <c r="D7" s="13" t="s">
        <v>80</v>
      </c>
      <c r="G7" s="26"/>
    </row>
    <row r="8" spans="1:10" x14ac:dyDescent="0.3">
      <c r="A8" s="14">
        <v>2417.3000000000002</v>
      </c>
      <c r="B8" s="14">
        <v>1158.0999999999999</v>
      </c>
      <c r="C8" s="14">
        <v>1314.5</v>
      </c>
      <c r="D8" s="14">
        <f>A8-B8+C8</f>
        <v>2573.7000000000003</v>
      </c>
      <c r="G8" s="24"/>
    </row>
    <row r="10" spans="1:10" x14ac:dyDescent="0.3">
      <c r="A10" s="13" t="s">
        <v>89</v>
      </c>
      <c r="G10" s="28"/>
      <c r="H10" s="5"/>
      <c r="I10" s="5"/>
      <c r="J10" s="5"/>
    </row>
    <row r="11" spans="1:10" x14ac:dyDescent="0.3">
      <c r="A11" s="13" t="s">
        <v>88</v>
      </c>
      <c r="B11" s="13" t="s">
        <v>86</v>
      </c>
      <c r="C11" s="13" t="s">
        <v>87</v>
      </c>
      <c r="D11" s="13" t="s">
        <v>104</v>
      </c>
      <c r="E11" s="13" t="s">
        <v>63</v>
      </c>
      <c r="G11" s="5"/>
      <c r="H11" s="5"/>
      <c r="I11" s="5"/>
      <c r="J11" s="5"/>
    </row>
    <row r="12" spans="1:10" x14ac:dyDescent="0.3">
      <c r="A12">
        <v>101.9</v>
      </c>
      <c r="B12">
        <v>29.7</v>
      </c>
      <c r="C12">
        <v>4.5</v>
      </c>
      <c r="D12">
        <f>A12-B12+C12</f>
        <v>76.7</v>
      </c>
      <c r="E12" s="23">
        <f>D12/D8</f>
        <v>2.9801453160819051E-2</v>
      </c>
      <c r="G12" s="5"/>
      <c r="H12" s="5"/>
      <c r="I12" s="5"/>
      <c r="J12" s="5"/>
    </row>
    <row r="13" spans="1:10" x14ac:dyDescent="0.3">
      <c r="G13" s="5"/>
      <c r="H13" s="5"/>
      <c r="I13" s="5"/>
      <c r="J13" s="5"/>
    </row>
    <row r="14" spans="1:10" x14ac:dyDescent="0.3">
      <c r="A14" s="13" t="s">
        <v>90</v>
      </c>
      <c r="G14" s="5"/>
      <c r="H14" s="5"/>
      <c r="I14" s="5"/>
      <c r="J14" s="5"/>
    </row>
    <row r="15" spans="1:10" x14ac:dyDescent="0.3">
      <c r="A15" s="13" t="s">
        <v>88</v>
      </c>
      <c r="B15" s="13" t="s">
        <v>86</v>
      </c>
      <c r="C15" s="13" t="s">
        <v>87</v>
      </c>
      <c r="D15" s="13" t="s">
        <v>105</v>
      </c>
      <c r="E15" s="13" t="s">
        <v>81</v>
      </c>
      <c r="G15" s="5"/>
      <c r="H15" s="5"/>
      <c r="I15" s="29"/>
      <c r="J15" s="5"/>
    </row>
    <row r="16" spans="1:10" x14ac:dyDescent="0.3">
      <c r="A16">
        <v>17</v>
      </c>
      <c r="B16">
        <v>7.8</v>
      </c>
      <c r="C16">
        <v>11.9</v>
      </c>
      <c r="D16">
        <f>(A16-B16+C16)</f>
        <v>21.1</v>
      </c>
      <c r="E16" s="14">
        <f>D12+D16</f>
        <v>97.800000000000011</v>
      </c>
      <c r="G16" s="5"/>
      <c r="H16" s="5"/>
      <c r="I16" s="5"/>
      <c r="J16" s="5"/>
    </row>
    <row r="17" spans="1:10" x14ac:dyDescent="0.3">
      <c r="G17" s="5"/>
      <c r="H17" s="5"/>
      <c r="I17" s="5"/>
      <c r="J17" s="5"/>
    </row>
    <row r="18" spans="1:10" x14ac:dyDescent="0.3">
      <c r="A18" s="13" t="s">
        <v>97</v>
      </c>
      <c r="G18" s="5"/>
      <c r="H18" s="5"/>
      <c r="I18" s="5"/>
      <c r="J18" s="5"/>
    </row>
    <row r="19" spans="1:10" x14ac:dyDescent="0.3">
      <c r="A19" s="13" t="s">
        <v>88</v>
      </c>
      <c r="B19" s="13" t="s">
        <v>86</v>
      </c>
      <c r="C19" s="13" t="s">
        <v>87</v>
      </c>
      <c r="D19" s="13" t="s">
        <v>98</v>
      </c>
      <c r="G19" s="30"/>
      <c r="H19" s="5"/>
      <c r="I19" s="5"/>
      <c r="J19" s="5"/>
    </row>
    <row r="20" spans="1:10" x14ac:dyDescent="0.3">
      <c r="A20">
        <v>82.4</v>
      </c>
      <c r="B20">
        <v>24.5</v>
      </c>
      <c r="C20">
        <v>3</v>
      </c>
      <c r="D20" s="14">
        <f>A20-B20+C20</f>
        <v>60.900000000000006</v>
      </c>
      <c r="G20" s="5"/>
      <c r="H20" s="5"/>
      <c r="I20" s="5"/>
      <c r="J20" s="5"/>
    </row>
    <row r="22" spans="1:10" x14ac:dyDescent="0.3">
      <c r="A22" s="17" t="s">
        <v>77</v>
      </c>
    </row>
    <row r="23" spans="1:10" x14ac:dyDescent="0.3">
      <c r="A23" s="12" t="s">
        <v>111</v>
      </c>
      <c r="B23" s="12" t="s">
        <v>107</v>
      </c>
      <c r="C23" s="13" t="s">
        <v>60</v>
      </c>
      <c r="D23" s="13" t="s">
        <v>99</v>
      </c>
      <c r="E23" s="13" t="s">
        <v>69</v>
      </c>
    </row>
    <row r="24" spans="1:10" x14ac:dyDescent="0.3">
      <c r="A24">
        <v>2610</v>
      </c>
      <c r="B24" s="27">
        <f>G4*A24/1000000/100</f>
        <v>2179.9290023999997</v>
      </c>
      <c r="C24" s="19">
        <f>B24/D20</f>
        <v>35.795221714285709</v>
      </c>
      <c r="D24" s="20">
        <f>B24+F4-E4</f>
        <v>2157.8290023999998</v>
      </c>
      <c r="E24" s="19">
        <f>D24/E16</f>
        <v>22.06369123108384</v>
      </c>
    </row>
    <row r="25" spans="1:10" x14ac:dyDescent="0.3">
      <c r="A25" s="20"/>
    </row>
    <row r="26" spans="1:10" x14ac:dyDescent="0.3">
      <c r="A26" s="13" t="s">
        <v>103</v>
      </c>
      <c r="B26" s="13" t="s">
        <v>102</v>
      </c>
      <c r="C26" s="13" t="s">
        <v>101</v>
      </c>
      <c r="D26" s="13" t="s">
        <v>61</v>
      </c>
    </row>
    <row r="27" spans="1:10" x14ac:dyDescent="0.3">
      <c r="A27">
        <v>1444.9</v>
      </c>
      <c r="B27">
        <v>1923.6</v>
      </c>
      <c r="C27">
        <v>2417.3000000000002</v>
      </c>
      <c r="D27" s="25">
        <f>(((B27-A27)/A27)+((C27-B27)/B27))/2</f>
        <v>0.29397869721715436</v>
      </c>
    </row>
    <row r="29" spans="1:10" x14ac:dyDescent="0.3">
      <c r="A29" s="13" t="s">
        <v>106</v>
      </c>
    </row>
    <row r="30" spans="1:10" x14ac:dyDescent="0.3">
      <c r="A30" s="13" t="s">
        <v>88</v>
      </c>
      <c r="B30" s="13" t="s">
        <v>86</v>
      </c>
      <c r="C30" s="13" t="s">
        <v>87</v>
      </c>
      <c r="D30" s="13" t="s">
        <v>62</v>
      </c>
    </row>
    <row r="31" spans="1:10" x14ac:dyDescent="0.3">
      <c r="A31" s="22">
        <v>1237.0999999999999</v>
      </c>
      <c r="B31">
        <v>569.4</v>
      </c>
      <c r="C31">
        <v>639.9</v>
      </c>
      <c r="D31" s="23">
        <f>(A31-B31+C31)/D8</f>
        <v>0.50806232272603635</v>
      </c>
    </row>
  </sheetData>
  <phoneticPr fontId="1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1FDDF-09EB-4524-A2F3-36C61F4CB294}">
  <dimension ref="A1:J31"/>
  <sheetViews>
    <sheetView topLeftCell="A4" zoomScaleNormal="100" workbookViewId="0">
      <selection activeCell="C28" sqref="C28"/>
    </sheetView>
  </sheetViews>
  <sheetFormatPr defaultRowHeight="14.4" x14ac:dyDescent="0.3"/>
  <cols>
    <col min="1" max="1" width="21.88671875" bestFit="1" customWidth="1"/>
    <col min="2" max="2" width="20.88671875" bestFit="1" customWidth="1"/>
    <col min="3" max="3" width="20.77734375" bestFit="1" customWidth="1"/>
    <col min="4" max="4" width="25" bestFit="1" customWidth="1"/>
    <col min="5" max="7" width="19.109375" bestFit="1" customWidth="1"/>
    <col min="8" max="8" width="15.6640625" bestFit="1" customWidth="1"/>
    <col min="9" max="9" width="16.6640625" bestFit="1" customWidth="1"/>
    <col min="10" max="11" width="18.6640625" bestFit="1" customWidth="1"/>
    <col min="12" max="12" width="20.109375" bestFit="1" customWidth="1"/>
    <col min="13" max="14" width="20.109375" customWidth="1"/>
    <col min="15" max="15" width="17.6640625" bestFit="1" customWidth="1"/>
    <col min="16" max="16" width="15.77734375" bestFit="1" customWidth="1"/>
    <col min="17" max="17" width="18.88671875" bestFit="1" customWidth="1"/>
    <col min="18" max="18" width="12.5546875" bestFit="1" customWidth="1"/>
  </cols>
  <sheetData>
    <row r="1" spans="1:10" x14ac:dyDescent="0.3">
      <c r="A1" t="s">
        <v>76</v>
      </c>
      <c r="C1" t="s">
        <v>134</v>
      </c>
    </row>
    <row r="2" spans="1:10" x14ac:dyDescent="0.3">
      <c r="A2" s="11">
        <v>1</v>
      </c>
      <c r="D2" t="s">
        <v>146</v>
      </c>
    </row>
    <row r="3" spans="1:10" x14ac:dyDescent="0.3">
      <c r="A3" s="11" t="s">
        <v>84</v>
      </c>
      <c r="B3" s="11" t="s">
        <v>59</v>
      </c>
      <c r="C3" s="12" t="s">
        <v>92</v>
      </c>
      <c r="D3" s="13" t="s">
        <v>93</v>
      </c>
      <c r="E3" s="13" t="s">
        <v>78</v>
      </c>
      <c r="F3" s="13" t="s">
        <v>79</v>
      </c>
      <c r="G3" s="13" t="s">
        <v>94</v>
      </c>
      <c r="H3" s="13" t="s">
        <v>83</v>
      </c>
      <c r="J3" t="s">
        <v>95</v>
      </c>
    </row>
    <row r="4" spans="1:10" x14ac:dyDescent="0.3">
      <c r="A4" s="15" t="s">
        <v>115</v>
      </c>
      <c r="B4" t="s">
        <v>114</v>
      </c>
      <c r="C4" t="s">
        <v>113</v>
      </c>
      <c r="D4" t="s">
        <v>85</v>
      </c>
      <c r="E4" s="14">
        <v>197872</v>
      </c>
      <c r="F4" s="5">
        <v>7164</v>
      </c>
      <c r="G4" s="14">
        <v>1154130568</v>
      </c>
      <c r="H4" s="14">
        <v>1174434862</v>
      </c>
      <c r="J4" t="s">
        <v>82</v>
      </c>
    </row>
    <row r="6" spans="1:10" x14ac:dyDescent="0.3">
      <c r="A6" s="13" t="s">
        <v>96</v>
      </c>
    </row>
    <row r="7" spans="1:10" x14ac:dyDescent="0.3">
      <c r="A7" s="13" t="s">
        <v>130</v>
      </c>
      <c r="B7" s="13" t="s">
        <v>116</v>
      </c>
      <c r="C7" s="13" t="s">
        <v>131</v>
      </c>
      <c r="D7" s="13" t="s">
        <v>80</v>
      </c>
      <c r="G7" s="24"/>
    </row>
    <row r="8" spans="1:10" x14ac:dyDescent="0.3">
      <c r="A8" s="14">
        <v>856920</v>
      </c>
      <c r="B8" s="33"/>
      <c r="C8" s="33"/>
      <c r="D8" s="14">
        <f>A8-B8+C8</f>
        <v>856920</v>
      </c>
      <c r="G8" s="24"/>
    </row>
    <row r="10" spans="1:10" x14ac:dyDescent="0.3">
      <c r="A10" s="13" t="s">
        <v>89</v>
      </c>
    </row>
    <row r="11" spans="1:10" x14ac:dyDescent="0.3">
      <c r="A11" s="13" t="s">
        <v>130</v>
      </c>
      <c r="B11" s="13" t="s">
        <v>116</v>
      </c>
      <c r="C11" s="13" t="s">
        <v>131</v>
      </c>
      <c r="D11" s="13" t="s">
        <v>104</v>
      </c>
      <c r="E11" s="13" t="s">
        <v>63</v>
      </c>
    </row>
    <row r="12" spans="1:10" x14ac:dyDescent="0.3">
      <c r="A12" s="14">
        <v>58680</v>
      </c>
      <c r="B12" s="33"/>
      <c r="C12" s="33"/>
      <c r="D12" s="14">
        <f>A12-B12+C12</f>
        <v>58680</v>
      </c>
      <c r="E12" s="23">
        <f>D12/D8</f>
        <v>6.8477804229099562E-2</v>
      </c>
    </row>
    <row r="14" spans="1:10" x14ac:dyDescent="0.3">
      <c r="A14" s="13" t="s">
        <v>90</v>
      </c>
    </row>
    <row r="15" spans="1:10" x14ac:dyDescent="0.3">
      <c r="A15" s="13" t="s">
        <v>130</v>
      </c>
      <c r="B15" s="13" t="s">
        <v>116</v>
      </c>
      <c r="C15" s="13" t="s">
        <v>131</v>
      </c>
      <c r="D15" s="13" t="s">
        <v>105</v>
      </c>
      <c r="E15" s="13" t="s">
        <v>81</v>
      </c>
    </row>
    <row r="16" spans="1:10" x14ac:dyDescent="0.3">
      <c r="A16" s="14">
        <v>13921</v>
      </c>
      <c r="B16" s="33"/>
      <c r="C16" s="33"/>
      <c r="D16">
        <f>(A16-B16+C16)</f>
        <v>13921</v>
      </c>
      <c r="E16" s="14">
        <f>D12+D16</f>
        <v>72601</v>
      </c>
    </row>
    <row r="18" spans="1:7" x14ac:dyDescent="0.3">
      <c r="A18" s="13" t="s">
        <v>97</v>
      </c>
    </row>
    <row r="19" spans="1:7" x14ac:dyDescent="0.3">
      <c r="A19" s="13" t="s">
        <v>130</v>
      </c>
      <c r="B19" s="13" t="s">
        <v>116</v>
      </c>
      <c r="C19" s="13" t="s">
        <v>131</v>
      </c>
      <c r="D19" s="13" t="s">
        <v>98</v>
      </c>
    </row>
    <row r="20" spans="1:7" x14ac:dyDescent="0.3">
      <c r="A20" s="14">
        <v>47351</v>
      </c>
      <c r="B20" s="33"/>
      <c r="C20" s="33"/>
      <c r="D20" s="14">
        <f>A20-B20+C20</f>
        <v>47351</v>
      </c>
    </row>
    <row r="21" spans="1:7" x14ac:dyDescent="0.3">
      <c r="D21" t="s">
        <v>140</v>
      </c>
    </row>
    <row r="22" spans="1:7" x14ac:dyDescent="0.3">
      <c r="A22" s="17" t="s">
        <v>77</v>
      </c>
    </row>
    <row r="23" spans="1:7" x14ac:dyDescent="0.3">
      <c r="A23" s="35" t="s">
        <v>135</v>
      </c>
      <c r="B23" s="12" t="s">
        <v>138</v>
      </c>
      <c r="C23" s="13" t="s">
        <v>60</v>
      </c>
      <c r="D23" s="13" t="s">
        <v>99</v>
      </c>
      <c r="E23" s="13" t="s">
        <v>69</v>
      </c>
      <c r="G23" s="36" t="s">
        <v>136</v>
      </c>
    </row>
    <row r="24" spans="1:7" x14ac:dyDescent="0.3">
      <c r="A24">
        <v>209.6</v>
      </c>
      <c r="B24" s="26">
        <f>A24*G4/100/1000</f>
        <v>2419057.6705279998</v>
      </c>
      <c r="C24" s="19">
        <f>B24/D20</f>
        <v>51.08778421845367</v>
      </c>
      <c r="D24" s="26">
        <f>B24+F4-E4</f>
        <v>2228349.6705279998</v>
      </c>
      <c r="E24" s="19">
        <f>D24/E16</f>
        <v>30.693098862660289</v>
      </c>
      <c r="F24" s="26"/>
      <c r="G24" t="s">
        <v>137</v>
      </c>
    </row>
    <row r="25" spans="1:7" x14ac:dyDescent="0.3">
      <c r="A25" s="20"/>
    </row>
    <row r="26" spans="1:7" x14ac:dyDescent="0.3">
      <c r="A26" s="13" t="s">
        <v>102</v>
      </c>
      <c r="B26" s="13" t="s">
        <v>101</v>
      </c>
      <c r="C26" s="13" t="s">
        <v>112</v>
      </c>
      <c r="D26" s="13" t="s">
        <v>61</v>
      </c>
    </row>
    <row r="27" spans="1:7" x14ac:dyDescent="0.3">
      <c r="A27">
        <v>294.60000000000002</v>
      </c>
      <c r="B27">
        <v>579.79999999999995</v>
      </c>
      <c r="C27">
        <v>856.9</v>
      </c>
      <c r="D27" s="25">
        <f>(((B27-A27)/A27)+((C27-B27)/B27))/2</f>
        <v>0.72300787522536847</v>
      </c>
    </row>
    <row r="29" spans="1:7" x14ac:dyDescent="0.3">
      <c r="A29" s="13" t="s">
        <v>106</v>
      </c>
    </row>
    <row r="30" spans="1:7" x14ac:dyDescent="0.3">
      <c r="A30" s="13" t="s">
        <v>130</v>
      </c>
      <c r="B30" s="13" t="s">
        <v>116</v>
      </c>
      <c r="C30" s="13" t="s">
        <v>131</v>
      </c>
      <c r="D30" s="13" t="s">
        <v>62</v>
      </c>
    </row>
    <row r="31" spans="1:7" x14ac:dyDescent="0.3">
      <c r="A31" s="22">
        <v>468994</v>
      </c>
      <c r="B31" s="33"/>
      <c r="C31" s="33"/>
      <c r="D31" s="23">
        <f>(A31-B31+C31)/D8</f>
        <v>0.54730196517761287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FC449-43B6-46BE-A795-E2A1C50E2CE2}">
  <dimension ref="A1:J31"/>
  <sheetViews>
    <sheetView zoomScaleNormal="100" workbookViewId="0">
      <selection activeCell="C28" sqref="C28"/>
    </sheetView>
  </sheetViews>
  <sheetFormatPr defaultRowHeight="14.4" x14ac:dyDescent="0.3"/>
  <cols>
    <col min="1" max="1" width="22.44140625" bestFit="1" customWidth="1"/>
    <col min="2" max="3" width="22.5546875" bestFit="1" customWidth="1"/>
    <col min="4" max="4" width="25" bestFit="1" customWidth="1"/>
    <col min="5" max="7" width="19.109375" bestFit="1" customWidth="1"/>
    <col min="8" max="8" width="15.6640625" bestFit="1" customWidth="1"/>
    <col min="9" max="9" width="16.6640625" bestFit="1" customWidth="1"/>
    <col min="10" max="11" width="18.6640625" bestFit="1" customWidth="1"/>
    <col min="12" max="12" width="20.109375" bestFit="1" customWidth="1"/>
    <col min="13" max="14" width="20.109375" customWidth="1"/>
    <col min="15" max="15" width="17.6640625" bestFit="1" customWidth="1"/>
    <col min="16" max="16" width="15.77734375" bestFit="1" customWidth="1"/>
    <col min="17" max="17" width="18.88671875" bestFit="1" customWidth="1"/>
    <col min="18" max="18" width="12.5546875" bestFit="1" customWidth="1"/>
  </cols>
  <sheetData>
    <row r="1" spans="1:10" x14ac:dyDescent="0.3">
      <c r="A1" t="s">
        <v>76</v>
      </c>
    </row>
    <row r="2" spans="1:10" x14ac:dyDescent="0.3">
      <c r="A2" s="11">
        <v>1</v>
      </c>
      <c r="D2" t="s">
        <v>129</v>
      </c>
    </row>
    <row r="3" spans="1:10" x14ac:dyDescent="0.3">
      <c r="A3" s="11" t="s">
        <v>84</v>
      </c>
      <c r="B3" s="11" t="s">
        <v>59</v>
      </c>
      <c r="C3" s="12" t="s">
        <v>92</v>
      </c>
      <c r="D3" s="13" t="s">
        <v>93</v>
      </c>
      <c r="E3" s="13" t="s">
        <v>78</v>
      </c>
      <c r="F3" s="13" t="s">
        <v>79</v>
      </c>
      <c r="G3" s="13" t="s">
        <v>94</v>
      </c>
      <c r="H3" s="13" t="s">
        <v>83</v>
      </c>
      <c r="J3" t="s">
        <v>95</v>
      </c>
    </row>
    <row r="4" spans="1:10" x14ac:dyDescent="0.3">
      <c r="A4" s="15" t="s">
        <v>118</v>
      </c>
      <c r="B4" t="s">
        <v>141</v>
      </c>
      <c r="C4" t="s">
        <v>142</v>
      </c>
      <c r="D4" t="s">
        <v>143</v>
      </c>
      <c r="E4">
        <v>272.89999999999998</v>
      </c>
      <c r="F4" s="5">
        <f>66.1+25.1</f>
        <v>91.199999999999989</v>
      </c>
      <c r="G4" s="14">
        <v>56609534</v>
      </c>
      <c r="H4" s="14">
        <v>57624505</v>
      </c>
      <c r="J4" t="s">
        <v>82</v>
      </c>
    </row>
    <row r="5" spans="1:10" x14ac:dyDescent="0.3">
      <c r="J5" t="s">
        <v>132</v>
      </c>
    </row>
    <row r="6" spans="1:10" x14ac:dyDescent="0.3">
      <c r="A6" s="13" t="s">
        <v>96</v>
      </c>
      <c r="J6" t="s">
        <v>133</v>
      </c>
    </row>
    <row r="7" spans="1:10" x14ac:dyDescent="0.3">
      <c r="A7" s="13" t="s">
        <v>123</v>
      </c>
      <c r="B7" s="13" t="s">
        <v>124</v>
      </c>
      <c r="C7" s="13" t="s">
        <v>125</v>
      </c>
      <c r="D7" s="13" t="s">
        <v>80</v>
      </c>
      <c r="G7" s="24"/>
    </row>
    <row r="8" spans="1:10" x14ac:dyDescent="0.3">
      <c r="A8" s="22">
        <v>2784</v>
      </c>
      <c r="B8" s="24">
        <v>551.9</v>
      </c>
      <c r="C8">
        <v>712.4</v>
      </c>
      <c r="D8" s="14">
        <f>A8-B8+C8</f>
        <v>2944.5</v>
      </c>
      <c r="G8" s="24"/>
    </row>
    <row r="10" spans="1:10" x14ac:dyDescent="0.3">
      <c r="A10" s="13" t="s">
        <v>89</v>
      </c>
    </row>
    <row r="11" spans="1:10" x14ac:dyDescent="0.3">
      <c r="A11" s="13" t="s">
        <v>123</v>
      </c>
      <c r="B11" s="13" t="s">
        <v>124</v>
      </c>
      <c r="C11" s="13" t="s">
        <v>125</v>
      </c>
      <c r="D11" s="13" t="s">
        <v>104</v>
      </c>
      <c r="E11" s="13" t="s">
        <v>63</v>
      </c>
    </row>
    <row r="12" spans="1:10" x14ac:dyDescent="0.3">
      <c r="A12">
        <v>68.099999999999994</v>
      </c>
      <c r="B12" s="24">
        <v>-6.4</v>
      </c>
      <c r="C12">
        <v>-21</v>
      </c>
      <c r="D12" s="31">
        <f>A12-B12+C12</f>
        <v>53.5</v>
      </c>
      <c r="E12" s="23">
        <f>D12/D8</f>
        <v>1.8169468500594328E-2</v>
      </c>
    </row>
    <row r="14" spans="1:10" x14ac:dyDescent="0.3">
      <c r="A14" s="13" t="s">
        <v>90</v>
      </c>
    </row>
    <row r="15" spans="1:10" x14ac:dyDescent="0.3">
      <c r="A15" s="13" t="s">
        <v>123</v>
      </c>
      <c r="B15" s="13" t="s">
        <v>124</v>
      </c>
      <c r="C15" s="13" t="s">
        <v>125</v>
      </c>
      <c r="D15" s="13" t="s">
        <v>105</v>
      </c>
      <c r="E15" s="13" t="s">
        <v>81</v>
      </c>
      <c r="F15" t="s">
        <v>139</v>
      </c>
    </row>
    <row r="16" spans="1:10" x14ac:dyDescent="0.3">
      <c r="A16">
        <v>49.1</v>
      </c>
      <c r="B16">
        <v>11</v>
      </c>
      <c r="C16">
        <v>24.5</v>
      </c>
      <c r="D16">
        <f>(A16-B16+C16)</f>
        <v>62.6</v>
      </c>
      <c r="E16" s="31">
        <f>D12+D16</f>
        <v>116.1</v>
      </c>
    </row>
    <row r="18" spans="1:5" x14ac:dyDescent="0.3">
      <c r="A18" s="13" t="s">
        <v>97</v>
      </c>
    </row>
    <row r="19" spans="1:5" x14ac:dyDescent="0.3">
      <c r="A19" s="13" t="s">
        <v>123</v>
      </c>
      <c r="B19" s="13" t="s">
        <v>124</v>
      </c>
      <c r="C19" s="13" t="s">
        <v>125</v>
      </c>
      <c r="D19" s="13" t="s">
        <v>98</v>
      </c>
    </row>
    <row r="20" spans="1:5" x14ac:dyDescent="0.3">
      <c r="A20">
        <v>42.6</v>
      </c>
      <c r="B20">
        <v>-11.2</v>
      </c>
      <c r="C20">
        <v>-20.2</v>
      </c>
      <c r="D20" s="31">
        <f>A20-B20+C20</f>
        <v>33.599999999999994</v>
      </c>
    </row>
    <row r="22" spans="1:5" x14ac:dyDescent="0.3">
      <c r="A22" s="17" t="s">
        <v>77</v>
      </c>
    </row>
    <row r="23" spans="1:5" x14ac:dyDescent="0.3">
      <c r="A23" s="34" t="s">
        <v>135</v>
      </c>
      <c r="B23" s="12" t="s">
        <v>144</v>
      </c>
      <c r="C23" s="13" t="s">
        <v>60</v>
      </c>
      <c r="D23" s="13" t="s">
        <v>99</v>
      </c>
      <c r="E23" s="13" t="s">
        <v>69</v>
      </c>
    </row>
    <row r="24" spans="1:5" x14ac:dyDescent="0.3">
      <c r="A24">
        <v>50.6</v>
      </c>
      <c r="B24">
        <f>A24*G4/1000000</f>
        <v>2864.4424204000002</v>
      </c>
      <c r="C24" s="19">
        <f>B24/D20</f>
        <v>85.251262511904784</v>
      </c>
      <c r="D24" s="20">
        <f>B24+F4-E4</f>
        <v>2682.7424203999999</v>
      </c>
      <c r="E24" s="19">
        <f>D24/E16</f>
        <v>23.107169857019812</v>
      </c>
    </row>
    <row r="25" spans="1:5" x14ac:dyDescent="0.3">
      <c r="A25" s="20"/>
    </row>
    <row r="26" spans="1:5" x14ac:dyDescent="0.3">
      <c r="A26" s="13" t="s">
        <v>103</v>
      </c>
      <c r="B26" s="13" t="s">
        <v>102</v>
      </c>
      <c r="C26" s="13" t="s">
        <v>101</v>
      </c>
      <c r="D26" s="13" t="s">
        <v>61</v>
      </c>
    </row>
    <row r="27" spans="1:5" x14ac:dyDescent="0.3">
      <c r="A27" s="22">
        <v>1396.4</v>
      </c>
      <c r="B27">
        <v>2016.4</v>
      </c>
      <c r="C27">
        <v>2784</v>
      </c>
      <c r="D27" s="25">
        <f>(((B27-A27)/A27)+((C27-B27)/B27))/2</f>
        <v>0.41233864550729843</v>
      </c>
    </row>
    <row r="29" spans="1:5" x14ac:dyDescent="0.3">
      <c r="A29" s="13" t="s">
        <v>106</v>
      </c>
    </row>
    <row r="30" spans="1:5" x14ac:dyDescent="0.3">
      <c r="A30" s="13" t="s">
        <v>123</v>
      </c>
      <c r="B30" s="13" t="s">
        <v>124</v>
      </c>
      <c r="C30" s="13" t="s">
        <v>125</v>
      </c>
      <c r="D30" s="13" t="s">
        <v>62</v>
      </c>
    </row>
    <row r="31" spans="1:5" x14ac:dyDescent="0.3">
      <c r="A31" s="22">
        <v>1113.0999999999999</v>
      </c>
      <c r="B31">
        <v>217.9</v>
      </c>
      <c r="C31">
        <v>269.7</v>
      </c>
      <c r="D31" s="23">
        <f>(A31-B31+C31)/D8</f>
        <v>0.39561895058583796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F24BF-1E3C-496A-8D8A-D4146B40D677}">
  <dimension ref="A1:J32"/>
  <sheetViews>
    <sheetView zoomScaleNormal="100" workbookViewId="0">
      <selection activeCell="C28" sqref="C28"/>
    </sheetView>
  </sheetViews>
  <sheetFormatPr defaultRowHeight="14.4" x14ac:dyDescent="0.3"/>
  <cols>
    <col min="1" max="1" width="22.44140625" bestFit="1" customWidth="1"/>
    <col min="2" max="2" width="22.5546875" bestFit="1" customWidth="1"/>
    <col min="3" max="3" width="24.88671875" customWidth="1"/>
    <col min="4" max="4" width="25" bestFit="1" customWidth="1"/>
    <col min="5" max="7" width="19.109375" bestFit="1" customWidth="1"/>
    <col min="8" max="8" width="15.6640625" bestFit="1" customWidth="1"/>
    <col min="9" max="9" width="16.6640625" bestFit="1" customWidth="1"/>
    <col min="10" max="11" width="18.6640625" bestFit="1" customWidth="1"/>
    <col min="12" max="12" width="20.109375" bestFit="1" customWidth="1"/>
    <col min="13" max="14" width="20.109375" customWidth="1"/>
    <col min="15" max="15" width="17.6640625" bestFit="1" customWidth="1"/>
    <col min="16" max="16" width="15.77734375" bestFit="1" customWidth="1"/>
    <col min="17" max="17" width="18.88671875" bestFit="1" customWidth="1"/>
    <col min="18" max="18" width="12.5546875" bestFit="1" customWidth="1"/>
  </cols>
  <sheetData>
    <row r="1" spans="1:10" x14ac:dyDescent="0.3">
      <c r="A1" t="s">
        <v>76</v>
      </c>
      <c r="C1" s="1" t="s">
        <v>117</v>
      </c>
    </row>
    <row r="2" spans="1:10" x14ac:dyDescent="0.3">
      <c r="A2" s="11">
        <v>1</v>
      </c>
      <c r="D2" s="16" t="s">
        <v>146</v>
      </c>
    </row>
    <row r="3" spans="1:10" x14ac:dyDescent="0.3">
      <c r="A3" s="11" t="s">
        <v>84</v>
      </c>
      <c r="B3" s="11" t="s">
        <v>59</v>
      </c>
      <c r="C3" s="12" t="s">
        <v>92</v>
      </c>
      <c r="D3" s="13" t="s">
        <v>93</v>
      </c>
      <c r="E3" s="13" t="s">
        <v>78</v>
      </c>
      <c r="F3" s="13" t="s">
        <v>79</v>
      </c>
      <c r="G3" s="13" t="s">
        <v>94</v>
      </c>
      <c r="H3" s="13" t="s">
        <v>83</v>
      </c>
      <c r="J3" t="s">
        <v>122</v>
      </c>
    </row>
    <row r="4" spans="1:10" x14ac:dyDescent="0.3">
      <c r="A4" s="15"/>
      <c r="B4" t="s">
        <v>154</v>
      </c>
      <c r="C4" t="s">
        <v>155</v>
      </c>
      <c r="D4" t="s">
        <v>120</v>
      </c>
      <c r="E4" s="14">
        <v>102625</v>
      </c>
      <c r="F4" s="29">
        <f>19955+168787</f>
        <v>188742</v>
      </c>
      <c r="G4" s="14">
        <v>25122199</v>
      </c>
      <c r="H4" s="14">
        <v>26095951</v>
      </c>
      <c r="J4" t="s">
        <v>121</v>
      </c>
    </row>
    <row r="6" spans="1:10" x14ac:dyDescent="0.3">
      <c r="A6" s="13" t="s">
        <v>96</v>
      </c>
    </row>
    <row r="7" spans="1:10" x14ac:dyDescent="0.3">
      <c r="A7" s="13" t="s">
        <v>123</v>
      </c>
      <c r="B7" s="13" t="s">
        <v>124</v>
      </c>
      <c r="C7" s="13" t="s">
        <v>125</v>
      </c>
      <c r="D7" s="13" t="s">
        <v>80</v>
      </c>
      <c r="G7" s="24"/>
    </row>
    <row r="8" spans="1:10" x14ac:dyDescent="0.3">
      <c r="A8" s="14">
        <v>783590</v>
      </c>
      <c r="B8" s="14">
        <f>0.15*B9</f>
        <v>120373.95</v>
      </c>
      <c r="C8" s="14">
        <v>175137</v>
      </c>
      <c r="D8" s="14">
        <f>A8-B8+C8</f>
        <v>838353.05</v>
      </c>
      <c r="G8" s="24"/>
    </row>
    <row r="9" spans="1:10" x14ac:dyDescent="0.3">
      <c r="B9" s="14">
        <v>802493</v>
      </c>
      <c r="C9" t="s">
        <v>149</v>
      </c>
    </row>
    <row r="10" spans="1:10" x14ac:dyDescent="0.3">
      <c r="A10" s="13" t="s">
        <v>103</v>
      </c>
      <c r="B10" s="13" t="s">
        <v>102</v>
      </c>
      <c r="C10" s="13" t="s">
        <v>101</v>
      </c>
      <c r="D10" s="13" t="s">
        <v>61</v>
      </c>
      <c r="E10" s="13" t="s">
        <v>149</v>
      </c>
    </row>
    <row r="11" spans="1:10" x14ac:dyDescent="0.3">
      <c r="A11" s="14">
        <v>2593822</v>
      </c>
      <c r="B11" s="14">
        <v>3740455</v>
      </c>
      <c r="C11" s="14">
        <v>5387577</v>
      </c>
      <c r="D11" s="25">
        <f>(((B11-A11)/A11)+((C11-B11)/B11))/2</f>
        <v>0.44120824085844146</v>
      </c>
    </row>
    <row r="13" spans="1:10" x14ac:dyDescent="0.3">
      <c r="A13" s="13" t="s">
        <v>106</v>
      </c>
    </row>
    <row r="14" spans="1:10" x14ac:dyDescent="0.3">
      <c r="A14" s="13" t="s">
        <v>123</v>
      </c>
      <c r="B14" s="13" t="s">
        <v>124</v>
      </c>
      <c r="C14" s="13" t="s">
        <v>125</v>
      </c>
      <c r="D14" s="13" t="s">
        <v>62</v>
      </c>
    </row>
    <row r="15" spans="1:10" x14ac:dyDescent="0.3">
      <c r="A15" s="14">
        <v>139587</v>
      </c>
      <c r="B15" s="14">
        <f>0.15*B16</f>
        <v>19773</v>
      </c>
      <c r="C15" s="14">
        <v>36986</v>
      </c>
      <c r="D15" s="23">
        <f>(A15-B15+C15)/D8</f>
        <v>0.18703337454309971</v>
      </c>
    </row>
    <row r="16" spans="1:10" x14ac:dyDescent="0.3">
      <c r="B16" s="14">
        <v>131820</v>
      </c>
      <c r="C16" t="s">
        <v>149</v>
      </c>
    </row>
    <row r="17" spans="1:6" x14ac:dyDescent="0.3">
      <c r="A17" s="13" t="s">
        <v>89</v>
      </c>
    </row>
    <row r="18" spans="1:6" x14ac:dyDescent="0.3">
      <c r="A18" s="13" t="s">
        <v>123</v>
      </c>
      <c r="B18" s="13" t="s">
        <v>124</v>
      </c>
      <c r="C18" s="13" t="s">
        <v>125</v>
      </c>
      <c r="D18" s="13" t="s">
        <v>104</v>
      </c>
      <c r="E18" s="13" t="s">
        <v>63</v>
      </c>
    </row>
    <row r="19" spans="1:6" x14ac:dyDescent="0.3">
      <c r="A19" s="14">
        <v>31892</v>
      </c>
      <c r="B19" s="14">
        <f>0.15*B20</f>
        <v>3494.7</v>
      </c>
      <c r="C19" s="14">
        <v>3185</v>
      </c>
      <c r="D19">
        <f>A19-B19+C19</f>
        <v>31582.3</v>
      </c>
      <c r="E19" s="23">
        <f>D19/D8</f>
        <v>3.7671837658370774E-2</v>
      </c>
    </row>
    <row r="20" spans="1:6" x14ac:dyDescent="0.3">
      <c r="B20" s="14">
        <v>23298</v>
      </c>
      <c r="C20" t="s">
        <v>149</v>
      </c>
    </row>
    <row r="21" spans="1:6" x14ac:dyDescent="0.3">
      <c r="A21" s="13" t="s">
        <v>90</v>
      </c>
    </row>
    <row r="22" spans="1:6" x14ac:dyDescent="0.3">
      <c r="A22" s="13" t="s">
        <v>123</v>
      </c>
      <c r="B22" s="13" t="s">
        <v>124</v>
      </c>
      <c r="C22" s="13" t="s">
        <v>125</v>
      </c>
      <c r="D22" s="13" t="s">
        <v>105</v>
      </c>
      <c r="E22" s="13" t="s">
        <v>81</v>
      </c>
    </row>
    <row r="23" spans="1:6" x14ac:dyDescent="0.3">
      <c r="A23" s="14">
        <v>2652</v>
      </c>
      <c r="D23">
        <f>(A23-B23+C23)</f>
        <v>2652</v>
      </c>
      <c r="E23" s="14">
        <f>D19+D23</f>
        <v>34234.300000000003</v>
      </c>
      <c r="F23" t="s">
        <v>156</v>
      </c>
    </row>
    <row r="25" spans="1:6" x14ac:dyDescent="0.3">
      <c r="A25" s="13" t="s">
        <v>97</v>
      </c>
    </row>
    <row r="26" spans="1:6" x14ac:dyDescent="0.3">
      <c r="A26" s="13" t="s">
        <v>123</v>
      </c>
      <c r="B26" s="13" t="s">
        <v>124</v>
      </c>
      <c r="C26" s="13" t="s">
        <v>125</v>
      </c>
      <c r="D26" s="13" t="s">
        <v>98</v>
      </c>
    </row>
    <row r="27" spans="1:6" x14ac:dyDescent="0.3">
      <c r="A27" s="14">
        <v>22083</v>
      </c>
      <c r="B27" s="14">
        <f>0.15*B28</f>
        <v>3850.5</v>
      </c>
      <c r="C27" s="14">
        <v>2110</v>
      </c>
      <c r="D27" s="14">
        <f>A27-B27+C27</f>
        <v>20342.5</v>
      </c>
    </row>
    <row r="28" spans="1:6" x14ac:dyDescent="0.3">
      <c r="B28" s="14">
        <v>25670</v>
      </c>
      <c r="C28" t="s">
        <v>149</v>
      </c>
    </row>
    <row r="29" spans="1:6" x14ac:dyDescent="0.3">
      <c r="A29" s="17" t="s">
        <v>77</v>
      </c>
    </row>
    <row r="30" spans="1:6" x14ac:dyDescent="0.3">
      <c r="A30" s="34" t="s">
        <v>135</v>
      </c>
      <c r="B30" s="12" t="s">
        <v>126</v>
      </c>
      <c r="C30" s="13" t="s">
        <v>60</v>
      </c>
      <c r="D30" s="13" t="s">
        <v>99</v>
      </c>
      <c r="E30" s="13" t="s">
        <v>69</v>
      </c>
    </row>
    <row r="31" spans="1:6" x14ac:dyDescent="0.3">
      <c r="A31">
        <v>7.25</v>
      </c>
      <c r="B31" s="26">
        <f>A31*G4/1000</f>
        <v>182135.94274999999</v>
      </c>
      <c r="C31" s="19">
        <f>B31/D27</f>
        <v>8.9534689811970001</v>
      </c>
      <c r="D31" s="32">
        <f>B31+F4-E4</f>
        <v>268252.94274999999</v>
      </c>
      <c r="E31" s="19">
        <f>D31/E23</f>
        <v>7.8357945905130224</v>
      </c>
    </row>
    <row r="32" spans="1:6" x14ac:dyDescent="0.3">
      <c r="A32" s="20"/>
    </row>
  </sheetData>
  <hyperlinks>
    <hyperlink ref="C1" r:id="rId1" xr:uid="{610AA50A-F13A-4147-9B00-E112B2225C33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34539-009D-4384-8315-B179C7BFE61B}">
  <dimension ref="A1:J35"/>
  <sheetViews>
    <sheetView zoomScaleNormal="100" workbookViewId="0">
      <selection activeCell="C28" sqref="C28"/>
    </sheetView>
  </sheetViews>
  <sheetFormatPr defaultRowHeight="14.4" x14ac:dyDescent="0.3"/>
  <cols>
    <col min="1" max="1" width="22.44140625" bestFit="1" customWidth="1"/>
    <col min="2" max="2" width="22.5546875" bestFit="1" customWidth="1"/>
    <col min="3" max="3" width="24.88671875" customWidth="1"/>
    <col min="4" max="4" width="25" bestFit="1" customWidth="1"/>
    <col min="5" max="7" width="19.109375" bestFit="1" customWidth="1"/>
    <col min="8" max="8" width="15.6640625" bestFit="1" customWidth="1"/>
    <col min="9" max="9" width="16.6640625" bestFit="1" customWidth="1"/>
    <col min="10" max="11" width="18.6640625" bestFit="1" customWidth="1"/>
    <col min="12" max="12" width="20.109375" bestFit="1" customWidth="1"/>
    <col min="13" max="14" width="20.109375" customWidth="1"/>
    <col min="15" max="15" width="17.6640625" bestFit="1" customWidth="1"/>
    <col min="16" max="16" width="15.77734375" bestFit="1" customWidth="1"/>
    <col min="17" max="17" width="18.88671875" bestFit="1" customWidth="1"/>
    <col min="18" max="18" width="12.5546875" bestFit="1" customWidth="1"/>
  </cols>
  <sheetData>
    <row r="1" spans="1:10" x14ac:dyDescent="0.3">
      <c r="A1" t="s">
        <v>76</v>
      </c>
      <c r="C1" s="1" t="s">
        <v>117</v>
      </c>
    </row>
    <row r="2" spans="1:10" x14ac:dyDescent="0.3">
      <c r="A2" s="11">
        <v>1</v>
      </c>
      <c r="D2" s="16" t="s">
        <v>161</v>
      </c>
    </row>
    <row r="3" spans="1:10" x14ac:dyDescent="0.3">
      <c r="A3" s="11" t="s">
        <v>84</v>
      </c>
      <c r="B3" s="11" t="s">
        <v>59</v>
      </c>
      <c r="C3" s="12" t="s">
        <v>92</v>
      </c>
      <c r="D3" s="13" t="s">
        <v>93</v>
      </c>
      <c r="E3" s="13" t="s">
        <v>78</v>
      </c>
      <c r="F3" s="13" t="s">
        <v>79</v>
      </c>
      <c r="G3" s="13" t="s">
        <v>94</v>
      </c>
      <c r="H3" s="13" t="s">
        <v>83</v>
      </c>
      <c r="J3" t="s">
        <v>122</v>
      </c>
    </row>
    <row r="4" spans="1:10" x14ac:dyDescent="0.3">
      <c r="A4" s="15"/>
      <c r="B4" t="s">
        <v>158</v>
      </c>
      <c r="C4" t="s">
        <v>160</v>
      </c>
      <c r="D4" t="s">
        <v>162</v>
      </c>
      <c r="E4" s="14">
        <v>21560</v>
      </c>
      <c r="F4" s="29">
        <v>22000</v>
      </c>
      <c r="G4" s="14">
        <v>306214590</v>
      </c>
      <c r="H4" s="14"/>
      <c r="J4" t="s">
        <v>121</v>
      </c>
    </row>
    <row r="6" spans="1:10" x14ac:dyDescent="0.3">
      <c r="A6" s="13" t="s">
        <v>96</v>
      </c>
      <c r="G6" t="s">
        <v>163</v>
      </c>
    </row>
    <row r="7" spans="1:10" x14ac:dyDescent="0.3">
      <c r="A7" s="13" t="s">
        <v>123</v>
      </c>
      <c r="B7" s="13" t="s">
        <v>124</v>
      </c>
      <c r="C7" s="13" t="s">
        <v>125</v>
      </c>
      <c r="D7" s="13" t="s">
        <v>80</v>
      </c>
      <c r="G7" s="24"/>
    </row>
    <row r="8" spans="1:10" x14ac:dyDescent="0.3">
      <c r="A8" s="14"/>
      <c r="B8" s="14"/>
      <c r="C8" s="14"/>
      <c r="D8" s="14">
        <v>118405</v>
      </c>
      <c r="G8" s="24"/>
    </row>
    <row r="9" spans="1:10" x14ac:dyDescent="0.3">
      <c r="B9" s="14"/>
    </row>
    <row r="10" spans="1:10" x14ac:dyDescent="0.3">
      <c r="A10" s="13" t="s">
        <v>103</v>
      </c>
      <c r="B10" s="13" t="s">
        <v>102</v>
      </c>
      <c r="C10" s="13" t="s">
        <v>101</v>
      </c>
      <c r="D10" s="13" t="s">
        <v>61</v>
      </c>
      <c r="E10" s="13" t="s">
        <v>149</v>
      </c>
    </row>
    <row r="11" spans="1:10" x14ac:dyDescent="0.3">
      <c r="A11" s="14">
        <v>76393</v>
      </c>
      <c r="B11" s="14">
        <v>98432</v>
      </c>
      <c r="C11" s="14">
        <v>118405</v>
      </c>
      <c r="D11" s="25">
        <f>(((B11-A11)/A11)+((C11-B11)/B11))/2</f>
        <v>0.24570333696178684</v>
      </c>
    </row>
    <row r="13" spans="1:10" x14ac:dyDescent="0.3">
      <c r="A13" s="13" t="s">
        <v>106</v>
      </c>
    </row>
    <row r="14" spans="1:10" x14ac:dyDescent="0.3">
      <c r="A14" s="13" t="s">
        <v>123</v>
      </c>
      <c r="B14" s="13" t="s">
        <v>124</v>
      </c>
      <c r="C14" s="13" t="s">
        <v>125</v>
      </c>
      <c r="D14" s="13" t="s">
        <v>62</v>
      </c>
    </row>
    <row r="15" spans="1:10" x14ac:dyDescent="0.3">
      <c r="A15" s="14">
        <v>104962</v>
      </c>
      <c r="B15" s="14"/>
      <c r="C15" s="14"/>
      <c r="D15" s="23">
        <f>(A15-B15+C15)/D8</f>
        <v>0.8864659431611841</v>
      </c>
    </row>
    <row r="16" spans="1:10" x14ac:dyDescent="0.3">
      <c r="B16" s="14"/>
      <c r="C16" s="14"/>
    </row>
    <row r="17" spans="1:5" x14ac:dyDescent="0.3">
      <c r="A17" s="13" t="s">
        <v>89</v>
      </c>
    </row>
    <row r="18" spans="1:5" x14ac:dyDescent="0.3">
      <c r="A18" s="13" t="s">
        <v>123</v>
      </c>
      <c r="B18" s="13" t="s">
        <v>124</v>
      </c>
      <c r="C18" s="13" t="s">
        <v>125</v>
      </c>
      <c r="D18" s="13" t="s">
        <v>104</v>
      </c>
      <c r="E18" s="13" t="s">
        <v>63</v>
      </c>
    </row>
    <row r="19" spans="1:5" x14ac:dyDescent="0.3">
      <c r="A19" s="14"/>
      <c r="B19" s="14"/>
      <c r="C19" s="14"/>
      <c r="D19" s="14">
        <v>25654</v>
      </c>
      <c r="E19" s="23">
        <f>D19/D8</f>
        <v>0.21666314767112876</v>
      </c>
    </row>
    <row r="20" spans="1:5" x14ac:dyDescent="0.3">
      <c r="B20" s="14"/>
      <c r="D20" s="14"/>
    </row>
    <row r="21" spans="1:5" x14ac:dyDescent="0.3">
      <c r="A21" s="13" t="s">
        <v>90</v>
      </c>
    </row>
    <row r="22" spans="1:5" x14ac:dyDescent="0.3">
      <c r="A22" s="13" t="s">
        <v>123</v>
      </c>
      <c r="B22" s="13" t="s">
        <v>124</v>
      </c>
      <c r="C22" s="13" t="s">
        <v>125</v>
      </c>
      <c r="D22" s="13" t="s">
        <v>105</v>
      </c>
      <c r="E22" s="13" t="s">
        <v>81</v>
      </c>
    </row>
    <row r="23" spans="1:5" x14ac:dyDescent="0.3">
      <c r="A23" s="14"/>
      <c r="D23">
        <f>1518+477</f>
        <v>1995</v>
      </c>
      <c r="E23" s="14">
        <f>D19+D23</f>
        <v>27649</v>
      </c>
    </row>
    <row r="25" spans="1:5" x14ac:dyDescent="0.3">
      <c r="A25" s="13" t="s">
        <v>97</v>
      </c>
    </row>
    <row r="26" spans="1:5" x14ac:dyDescent="0.3">
      <c r="A26" s="13" t="s">
        <v>123</v>
      </c>
      <c r="B26" s="13" t="s">
        <v>124</v>
      </c>
      <c r="C26" s="13" t="s">
        <v>125</v>
      </c>
      <c r="D26" s="13" t="s">
        <v>98</v>
      </c>
    </row>
    <row r="27" spans="1:5" x14ac:dyDescent="0.3">
      <c r="A27" s="14"/>
      <c r="B27" s="14"/>
      <c r="C27" s="14"/>
      <c r="D27" s="14">
        <v>15985</v>
      </c>
    </row>
    <row r="28" spans="1:5" x14ac:dyDescent="0.3">
      <c r="B28" s="14"/>
      <c r="D28" s="14"/>
    </row>
    <row r="29" spans="1:5" x14ac:dyDescent="0.3">
      <c r="A29" s="17" t="s">
        <v>77</v>
      </c>
    </row>
    <row r="30" spans="1:5" x14ac:dyDescent="0.3">
      <c r="A30" s="34" t="s">
        <v>135</v>
      </c>
      <c r="B30" s="12" t="s">
        <v>126</v>
      </c>
      <c r="C30" s="13" t="s">
        <v>60</v>
      </c>
      <c r="D30" s="13" t="s">
        <v>99</v>
      </c>
      <c r="E30" s="13" t="s">
        <v>69</v>
      </c>
    </row>
    <row r="31" spans="1:5" x14ac:dyDescent="0.3">
      <c r="A31">
        <v>1910</v>
      </c>
      <c r="B31" s="26">
        <f>A31*G4/1000000</f>
        <v>584869.86690000002</v>
      </c>
      <c r="C31" s="26">
        <f>B31/D27</f>
        <v>36.588668558023151</v>
      </c>
      <c r="D31" s="32">
        <f>B31+F4-E4</f>
        <v>585309.86690000002</v>
      </c>
      <c r="E31" s="19">
        <f>D31/E23</f>
        <v>21.169296064957141</v>
      </c>
    </row>
    <row r="32" spans="1:5" x14ac:dyDescent="0.3">
      <c r="A32" s="20" t="s">
        <v>162</v>
      </c>
    </row>
    <row r="34" spans="1:1" x14ac:dyDescent="0.3">
      <c r="A34" s="1" t="s">
        <v>164</v>
      </c>
    </row>
    <row r="35" spans="1:1" x14ac:dyDescent="0.3">
      <c r="A35" s="1" t="s">
        <v>165</v>
      </c>
    </row>
  </sheetData>
  <hyperlinks>
    <hyperlink ref="C1" r:id="rId1" xr:uid="{3A5D480C-A59D-4ABE-BC5C-5179A6D59EC6}"/>
    <hyperlink ref="A34" r:id="rId2" xr:uid="{C9DB9259-CABE-4BA3-A0D4-D1CE36D11566}"/>
    <hyperlink ref="A35" r:id="rId3" xr:uid="{2602072E-8170-4B49-8E93-C4DB021C03B2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C7BF5-B89F-4863-ACA2-54FE08A121DF}">
  <dimension ref="A1:J31"/>
  <sheetViews>
    <sheetView zoomScaleNormal="100" workbookViewId="0">
      <selection activeCell="C28" sqref="C28"/>
    </sheetView>
  </sheetViews>
  <sheetFormatPr defaultRowHeight="14.4" x14ac:dyDescent="0.3"/>
  <cols>
    <col min="1" max="1" width="22.44140625" bestFit="1" customWidth="1"/>
    <col min="2" max="3" width="22.5546875" bestFit="1" customWidth="1"/>
    <col min="4" max="4" width="25" bestFit="1" customWidth="1"/>
    <col min="5" max="5" width="19.109375" bestFit="1" customWidth="1"/>
    <col min="6" max="6" width="20.109375" customWidth="1"/>
    <col min="7" max="7" width="19.109375" bestFit="1" customWidth="1"/>
    <col min="8" max="8" width="15.6640625" bestFit="1" customWidth="1"/>
    <col min="9" max="9" width="16.6640625" bestFit="1" customWidth="1"/>
    <col min="10" max="11" width="18.6640625" bestFit="1" customWidth="1"/>
    <col min="12" max="12" width="20.109375" bestFit="1" customWidth="1"/>
    <col min="13" max="14" width="20.109375" customWidth="1"/>
    <col min="15" max="15" width="17.6640625" bestFit="1" customWidth="1"/>
    <col min="16" max="16" width="15.77734375" bestFit="1" customWidth="1"/>
    <col min="17" max="17" width="18.88671875" bestFit="1" customWidth="1"/>
    <col min="18" max="18" width="12.5546875" bestFit="1" customWidth="1"/>
  </cols>
  <sheetData>
    <row r="1" spans="1:10" x14ac:dyDescent="0.3">
      <c r="A1" t="s">
        <v>76</v>
      </c>
    </row>
    <row r="2" spans="1:10" x14ac:dyDescent="0.3">
      <c r="A2" s="11">
        <v>1</v>
      </c>
      <c r="D2" t="s">
        <v>146</v>
      </c>
    </row>
    <row r="3" spans="1:10" x14ac:dyDescent="0.3">
      <c r="A3" s="11" t="s">
        <v>84</v>
      </c>
      <c r="B3" s="11" t="s">
        <v>59</v>
      </c>
      <c r="C3" s="12" t="s">
        <v>92</v>
      </c>
      <c r="D3" s="13" t="s">
        <v>93</v>
      </c>
      <c r="E3" s="13" t="s">
        <v>78</v>
      </c>
      <c r="F3" s="13" t="s">
        <v>79</v>
      </c>
      <c r="G3" s="13" t="s">
        <v>94</v>
      </c>
      <c r="H3" s="13" t="s">
        <v>83</v>
      </c>
      <c r="J3" t="s">
        <v>95</v>
      </c>
    </row>
    <row r="4" spans="1:10" x14ac:dyDescent="0.3">
      <c r="A4" s="15" t="s">
        <v>118</v>
      </c>
      <c r="B4" t="s">
        <v>49</v>
      </c>
      <c r="C4" t="s">
        <v>147</v>
      </c>
      <c r="D4" t="s">
        <v>120</v>
      </c>
      <c r="E4" s="14">
        <v>190236</v>
      </c>
      <c r="F4" s="5">
        <v>0</v>
      </c>
      <c r="G4" s="14">
        <v>1247998533</v>
      </c>
      <c r="H4" s="14">
        <v>1247998533</v>
      </c>
      <c r="J4" t="s">
        <v>82</v>
      </c>
    </row>
    <row r="5" spans="1:10" x14ac:dyDescent="0.3">
      <c r="J5" t="s">
        <v>132</v>
      </c>
    </row>
    <row r="6" spans="1:10" x14ac:dyDescent="0.3">
      <c r="A6" s="13" t="s">
        <v>96</v>
      </c>
      <c r="J6" t="s">
        <v>133</v>
      </c>
    </row>
    <row r="7" spans="1:10" x14ac:dyDescent="0.3">
      <c r="A7" s="13" t="s">
        <v>123</v>
      </c>
      <c r="B7" s="13" t="s">
        <v>124</v>
      </c>
      <c r="C7" s="13" t="s">
        <v>125</v>
      </c>
      <c r="D7" s="13" t="s">
        <v>80</v>
      </c>
      <c r="G7" s="24"/>
    </row>
    <row r="8" spans="1:10" x14ac:dyDescent="0.3">
      <c r="A8" s="22"/>
      <c r="B8" s="24"/>
      <c r="D8" s="14">
        <v>160072</v>
      </c>
      <c r="G8" s="24"/>
    </row>
    <row r="10" spans="1:10" x14ac:dyDescent="0.3">
      <c r="A10" s="13" t="s">
        <v>89</v>
      </c>
    </row>
    <row r="11" spans="1:10" x14ac:dyDescent="0.3">
      <c r="A11" s="13" t="s">
        <v>123</v>
      </c>
      <c r="B11" s="13" t="s">
        <v>124</v>
      </c>
      <c r="C11" s="13" t="s">
        <v>125</v>
      </c>
      <c r="D11" s="13" t="s">
        <v>104</v>
      </c>
      <c r="E11" s="13" t="s">
        <v>63</v>
      </c>
    </row>
    <row r="12" spans="1:10" x14ac:dyDescent="0.3">
      <c r="B12" s="24"/>
      <c r="D12" s="31">
        <v>-85557</v>
      </c>
      <c r="E12" s="23">
        <f>D12/D8</f>
        <v>-0.53449072917187268</v>
      </c>
    </row>
    <row r="14" spans="1:10" x14ac:dyDescent="0.3">
      <c r="A14" s="13" t="s">
        <v>90</v>
      </c>
    </row>
    <row r="15" spans="1:10" x14ac:dyDescent="0.3">
      <c r="A15" s="13" t="s">
        <v>123</v>
      </c>
      <c r="B15" s="13" t="s">
        <v>124</v>
      </c>
      <c r="C15" s="13" t="s">
        <v>125</v>
      </c>
      <c r="D15" s="13" t="s">
        <v>105</v>
      </c>
      <c r="E15" s="13" t="s">
        <v>81</v>
      </c>
      <c r="F15" t="s">
        <v>139</v>
      </c>
    </row>
    <row r="16" spans="1:10" x14ac:dyDescent="0.3">
      <c r="D16" s="14">
        <v>30752</v>
      </c>
      <c r="E16" s="31">
        <f>D12+D16</f>
        <v>-54805</v>
      </c>
    </row>
    <row r="18" spans="1:7" x14ac:dyDescent="0.3">
      <c r="A18" s="13" t="s">
        <v>97</v>
      </c>
    </row>
    <row r="19" spans="1:7" x14ac:dyDescent="0.3">
      <c r="A19" s="13" t="s">
        <v>123</v>
      </c>
      <c r="B19" s="13" t="s">
        <v>124</v>
      </c>
      <c r="C19" s="13" t="s">
        <v>125</v>
      </c>
      <c r="D19" s="13" t="s">
        <v>98</v>
      </c>
    </row>
    <row r="20" spans="1:7" x14ac:dyDescent="0.3">
      <c r="D20" s="31">
        <v>-161711</v>
      </c>
      <c r="E20">
        <v>-72460</v>
      </c>
    </row>
    <row r="22" spans="1:7" x14ac:dyDescent="0.3">
      <c r="A22" s="17" t="s">
        <v>77</v>
      </c>
    </row>
    <row r="23" spans="1:7" x14ac:dyDescent="0.3">
      <c r="A23" s="34" t="s">
        <v>135</v>
      </c>
      <c r="B23" s="12" t="s">
        <v>126</v>
      </c>
      <c r="C23" s="13" t="s">
        <v>60</v>
      </c>
      <c r="D23" s="13" t="s">
        <v>99</v>
      </c>
      <c r="E23" s="13" t="s">
        <v>69</v>
      </c>
    </row>
    <row r="24" spans="1:7" x14ac:dyDescent="0.3">
      <c r="A24">
        <v>2.73</v>
      </c>
      <c r="B24" s="26">
        <f>A24*G4/1000</f>
        <v>3407035.9950900003</v>
      </c>
      <c r="C24" s="18">
        <f>B24/D20</f>
        <v>-21.068671859613758</v>
      </c>
      <c r="D24" s="38">
        <f>B24+F4-E4</f>
        <v>3216799.9950900003</v>
      </c>
      <c r="E24" s="37">
        <f>D24/E16</f>
        <v>-58.695374420034675</v>
      </c>
      <c r="F24" t="s">
        <v>151</v>
      </c>
      <c r="G24" t="s">
        <v>153</v>
      </c>
    </row>
    <row r="25" spans="1:7" x14ac:dyDescent="0.3">
      <c r="A25" s="20"/>
    </row>
    <row r="26" spans="1:7" x14ac:dyDescent="0.3">
      <c r="A26" s="13" t="s">
        <v>102</v>
      </c>
      <c r="B26" s="13" t="s">
        <v>101</v>
      </c>
      <c r="C26" s="13" t="s">
        <v>112</v>
      </c>
      <c r="D26" s="13" t="s">
        <v>61</v>
      </c>
      <c r="E26" s="13" t="s">
        <v>150</v>
      </c>
    </row>
    <row r="27" spans="1:7" x14ac:dyDescent="0.3">
      <c r="A27" s="14">
        <v>325335</v>
      </c>
      <c r="B27" s="14">
        <v>416335</v>
      </c>
      <c r="C27" s="14">
        <v>507728</v>
      </c>
      <c r="D27" s="25">
        <f>(((B27-A27)/A27)+((C27-B27)/B27))/2</f>
        <v>0.24961480904109273</v>
      </c>
    </row>
    <row r="29" spans="1:7" x14ac:dyDescent="0.3">
      <c r="A29" s="13" t="s">
        <v>106</v>
      </c>
    </row>
    <row r="30" spans="1:7" x14ac:dyDescent="0.3">
      <c r="A30" s="13" t="s">
        <v>148</v>
      </c>
      <c r="B30" s="13" t="s">
        <v>86</v>
      </c>
      <c r="C30" s="13" t="s">
        <v>87</v>
      </c>
      <c r="D30" s="13" t="s">
        <v>62</v>
      </c>
    </row>
    <row r="31" spans="1:7" x14ac:dyDescent="0.3">
      <c r="A31" s="22">
        <f>160072-46756-110820</f>
        <v>2496</v>
      </c>
      <c r="D31" s="23">
        <f>(A31-B31+C31)/D8</f>
        <v>1.559298315757909E-2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C7973-C226-4D0E-9387-2C7AC97331D7}">
  <dimension ref="A1:J31"/>
  <sheetViews>
    <sheetView zoomScaleNormal="100" workbookViewId="0">
      <selection activeCell="A29" sqref="A29"/>
    </sheetView>
  </sheetViews>
  <sheetFormatPr defaultRowHeight="14.4" x14ac:dyDescent="0.3"/>
  <cols>
    <col min="1" max="1" width="22.44140625" bestFit="1" customWidth="1"/>
    <col min="2" max="2" width="22.5546875" bestFit="1" customWidth="1"/>
    <col min="3" max="3" width="24.88671875" customWidth="1"/>
    <col min="4" max="4" width="25" bestFit="1" customWidth="1"/>
    <col min="5" max="7" width="19.109375" bestFit="1" customWidth="1"/>
    <col min="8" max="8" width="15.6640625" bestFit="1" customWidth="1"/>
    <col min="9" max="9" width="16.6640625" bestFit="1" customWidth="1"/>
    <col min="10" max="11" width="18.6640625" bestFit="1" customWidth="1"/>
    <col min="12" max="12" width="20.109375" bestFit="1" customWidth="1"/>
    <col min="13" max="14" width="20.109375" customWidth="1"/>
    <col min="15" max="15" width="17.6640625" bestFit="1" customWidth="1"/>
    <col min="16" max="16" width="15.77734375" bestFit="1" customWidth="1"/>
    <col min="17" max="17" width="18.88671875" bestFit="1" customWidth="1"/>
    <col min="18" max="18" width="12.5546875" bestFit="1" customWidth="1"/>
  </cols>
  <sheetData>
    <row r="1" spans="1:10" x14ac:dyDescent="0.3">
      <c r="A1" t="s">
        <v>76</v>
      </c>
      <c r="C1" s="1" t="s">
        <v>117</v>
      </c>
    </row>
    <row r="2" spans="1:10" x14ac:dyDescent="0.3">
      <c r="A2" s="11">
        <v>1</v>
      </c>
      <c r="D2" s="16" t="s">
        <v>146</v>
      </c>
    </row>
    <row r="3" spans="1:10" x14ac:dyDescent="0.3">
      <c r="A3" s="11" t="s">
        <v>84</v>
      </c>
      <c r="B3" s="11" t="s">
        <v>59</v>
      </c>
      <c r="C3" s="12" t="s">
        <v>92</v>
      </c>
      <c r="D3" s="13" t="s">
        <v>93</v>
      </c>
      <c r="E3" s="13" t="s">
        <v>78</v>
      </c>
      <c r="F3" s="13" t="s">
        <v>79</v>
      </c>
      <c r="G3" s="13" t="s">
        <v>94</v>
      </c>
      <c r="H3" s="13" t="s">
        <v>83</v>
      </c>
      <c r="J3" t="s">
        <v>122</v>
      </c>
    </row>
    <row r="4" spans="1:10" x14ac:dyDescent="0.3">
      <c r="A4" s="15" t="s">
        <v>118</v>
      </c>
      <c r="B4" t="s">
        <v>100</v>
      </c>
      <c r="C4" t="s">
        <v>119</v>
      </c>
      <c r="D4" t="s">
        <v>120</v>
      </c>
      <c r="E4" s="14">
        <v>27201</v>
      </c>
      <c r="F4" s="5">
        <v>0</v>
      </c>
      <c r="G4" s="14">
        <v>41936</v>
      </c>
      <c r="H4" s="14">
        <v>44821</v>
      </c>
      <c r="J4" t="s">
        <v>121</v>
      </c>
    </row>
    <row r="6" spans="1:10" x14ac:dyDescent="0.3">
      <c r="A6" s="13" t="s">
        <v>96</v>
      </c>
    </row>
    <row r="7" spans="1:10" x14ac:dyDescent="0.3">
      <c r="A7" s="13" t="s">
        <v>123</v>
      </c>
      <c r="B7" s="13" t="s">
        <v>124</v>
      </c>
      <c r="C7" s="13" t="s">
        <v>125</v>
      </c>
      <c r="D7" s="13" t="s">
        <v>80</v>
      </c>
      <c r="G7" s="24"/>
    </row>
    <row r="8" spans="1:10" x14ac:dyDescent="0.3">
      <c r="A8" s="14">
        <v>498739</v>
      </c>
      <c r="B8" s="14">
        <v>113305</v>
      </c>
      <c r="C8" s="14">
        <v>137343</v>
      </c>
      <c r="D8" s="14">
        <f>A8-B8+C8</f>
        <v>522777</v>
      </c>
      <c r="G8" s="24"/>
    </row>
    <row r="10" spans="1:10" x14ac:dyDescent="0.3">
      <c r="A10" s="13" t="s">
        <v>89</v>
      </c>
    </row>
    <row r="11" spans="1:10" x14ac:dyDescent="0.3">
      <c r="A11" s="13" t="s">
        <v>123</v>
      </c>
      <c r="B11" s="13" t="s">
        <v>124</v>
      </c>
      <c r="C11" s="13" t="s">
        <v>125</v>
      </c>
      <c r="D11" s="13" t="s">
        <v>104</v>
      </c>
      <c r="E11" s="13" t="s">
        <v>63</v>
      </c>
    </row>
    <row r="12" spans="1:10" x14ac:dyDescent="0.3">
      <c r="A12" s="14">
        <v>41798</v>
      </c>
      <c r="B12" s="14">
        <v>7505</v>
      </c>
      <c r="C12" s="14">
        <v>6901</v>
      </c>
      <c r="D12">
        <f>A12-B12+C12</f>
        <v>41194</v>
      </c>
      <c r="E12" s="23">
        <f>D12/D8</f>
        <v>7.8798416915816877E-2</v>
      </c>
    </row>
    <row r="14" spans="1:10" x14ac:dyDescent="0.3">
      <c r="A14" s="13" t="s">
        <v>90</v>
      </c>
    </row>
    <row r="15" spans="1:10" x14ac:dyDescent="0.3">
      <c r="A15" s="13" t="s">
        <v>123</v>
      </c>
      <c r="B15" s="13" t="s">
        <v>124</v>
      </c>
      <c r="C15" s="13" t="s">
        <v>125</v>
      </c>
      <c r="D15" s="13" t="s">
        <v>105</v>
      </c>
      <c r="E15" s="13" t="s">
        <v>81</v>
      </c>
    </row>
    <row r="16" spans="1:10" x14ac:dyDescent="0.3">
      <c r="A16" s="14">
        <v>2867</v>
      </c>
      <c r="B16">
        <v>729</v>
      </c>
      <c r="C16">
        <v>695</v>
      </c>
      <c r="D16">
        <f>(A16-B16+C16)</f>
        <v>2833</v>
      </c>
      <c r="E16" s="14">
        <f>D12+D16</f>
        <v>44027</v>
      </c>
    </row>
    <row r="18" spans="1:4" x14ac:dyDescent="0.3">
      <c r="A18" s="13" t="s">
        <v>97</v>
      </c>
    </row>
    <row r="19" spans="1:4" x14ac:dyDescent="0.3">
      <c r="A19" s="13" t="s">
        <v>123</v>
      </c>
      <c r="B19" s="13" t="s">
        <v>124</v>
      </c>
      <c r="C19" s="13" t="s">
        <v>125</v>
      </c>
      <c r="D19" s="13" t="s">
        <v>98</v>
      </c>
    </row>
    <row r="20" spans="1:4" x14ac:dyDescent="0.3">
      <c r="A20" s="14">
        <v>30685</v>
      </c>
      <c r="B20" s="14">
        <v>5379</v>
      </c>
      <c r="C20" s="14">
        <v>4962</v>
      </c>
      <c r="D20" s="14">
        <f>A20-B20+C20</f>
        <v>30268</v>
      </c>
    </row>
    <row r="22" spans="1:4" x14ac:dyDescent="0.3">
      <c r="A22" s="17" t="s">
        <v>77</v>
      </c>
    </row>
    <row r="23" spans="1:4" x14ac:dyDescent="0.3">
      <c r="A23" s="12" t="s">
        <v>126</v>
      </c>
      <c r="B23" s="13" t="s">
        <v>60</v>
      </c>
      <c r="C23" s="13" t="s">
        <v>99</v>
      </c>
      <c r="D23" s="13" t="s">
        <v>69</v>
      </c>
    </row>
    <row r="24" spans="1:4" x14ac:dyDescent="0.3">
      <c r="A24" s="26">
        <v>2530000</v>
      </c>
      <c r="B24" s="19">
        <f>A24/D20</f>
        <v>83.586626139817625</v>
      </c>
      <c r="C24" s="32">
        <f>A24+F4-E4</f>
        <v>2502799</v>
      </c>
      <c r="D24" s="19">
        <f>C24/E16</f>
        <v>56.846912122106886</v>
      </c>
    </row>
    <row r="25" spans="1:4" x14ac:dyDescent="0.3">
      <c r="A25" s="20"/>
    </row>
    <row r="26" spans="1:4" x14ac:dyDescent="0.3">
      <c r="A26" s="13" t="s">
        <v>128</v>
      </c>
      <c r="B26" s="13" t="s">
        <v>127</v>
      </c>
      <c r="C26" s="13" t="s">
        <v>123</v>
      </c>
      <c r="D26" s="13" t="s">
        <v>61</v>
      </c>
    </row>
    <row r="27" spans="1:4" x14ac:dyDescent="0.3">
      <c r="A27">
        <v>312.10000000000002</v>
      </c>
      <c r="B27">
        <v>399.6</v>
      </c>
      <c r="C27">
        <v>498.7</v>
      </c>
      <c r="D27" s="25">
        <f>(((B27-A27)/A27)+((C27-B27)/B27))/2</f>
        <v>0.26417842866897651</v>
      </c>
    </row>
    <row r="29" spans="1:4" x14ac:dyDescent="0.3">
      <c r="A29" s="13" t="s">
        <v>106</v>
      </c>
    </row>
    <row r="30" spans="1:4" x14ac:dyDescent="0.3">
      <c r="A30" s="13" t="s">
        <v>123</v>
      </c>
      <c r="B30" s="13" t="s">
        <v>124</v>
      </c>
      <c r="C30" s="13" t="s">
        <v>125</v>
      </c>
      <c r="D30" s="13" t="s">
        <v>62</v>
      </c>
    </row>
    <row r="31" spans="1:4" x14ac:dyDescent="0.3">
      <c r="A31" s="14">
        <v>265306</v>
      </c>
      <c r="B31" s="14">
        <v>56433</v>
      </c>
      <c r="C31" s="14">
        <v>70754</v>
      </c>
      <c r="D31" s="23">
        <f>(A31-B31+C31)/D8</f>
        <v>0.5348877245938517</v>
      </c>
    </row>
  </sheetData>
  <hyperlinks>
    <hyperlink ref="C1" r:id="rId1" xr:uid="{54581E2B-6452-45C3-AED9-39BA09258B1C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6DA05-89EA-40C9-930B-D43F8570BB7C}">
  <dimension ref="B2:M15"/>
  <sheetViews>
    <sheetView workbookViewId="0">
      <selection activeCell="I24" sqref="I24"/>
    </sheetView>
  </sheetViews>
  <sheetFormatPr defaultRowHeight="14.4" x14ac:dyDescent="0.3"/>
  <cols>
    <col min="2" max="2" width="3.5546875" bestFit="1" customWidth="1"/>
    <col min="3" max="3" width="27.6640625" bestFit="1" customWidth="1"/>
    <col min="4" max="4" width="19.21875" bestFit="1" customWidth="1"/>
    <col min="5" max="5" width="8.44140625" bestFit="1" customWidth="1"/>
    <col min="6" max="6" width="14.88671875" bestFit="1" customWidth="1"/>
    <col min="7" max="7" width="8.21875" bestFit="1" customWidth="1"/>
    <col min="8" max="8" width="17.44140625" bestFit="1" customWidth="1"/>
    <col min="9" max="9" width="13.44140625" bestFit="1" customWidth="1"/>
    <col min="10" max="10" width="20.5546875" bestFit="1" customWidth="1"/>
    <col min="12" max="12" width="22" bestFit="1" customWidth="1"/>
  </cols>
  <sheetData>
    <row r="2" spans="2:13" x14ac:dyDescent="0.3">
      <c r="B2" s="39" t="s">
        <v>168</v>
      </c>
      <c r="C2" s="40" t="s">
        <v>51</v>
      </c>
      <c r="D2" s="6" t="s">
        <v>108</v>
      </c>
      <c r="E2" s="39" t="s">
        <v>93</v>
      </c>
      <c r="F2" s="39" t="s">
        <v>126</v>
      </c>
      <c r="G2" s="7" t="s">
        <v>52</v>
      </c>
      <c r="H2" s="7" t="s">
        <v>53</v>
      </c>
      <c r="I2" s="6" t="s">
        <v>54</v>
      </c>
      <c r="J2" s="6" t="s">
        <v>55</v>
      </c>
      <c r="L2" s="8" t="s">
        <v>56</v>
      </c>
      <c r="M2" s="9"/>
    </row>
    <row r="3" spans="2:13" x14ac:dyDescent="0.3">
      <c r="B3" s="41">
        <v>1</v>
      </c>
      <c r="C3" s="42" t="s">
        <v>16</v>
      </c>
      <c r="D3" s="42">
        <v>1.61</v>
      </c>
      <c r="E3" s="43" t="s">
        <v>85</v>
      </c>
      <c r="F3" s="44">
        <f>ASOS!B24</f>
        <v>2179.9290023999997</v>
      </c>
      <c r="G3" s="42">
        <f>ASOS!F4-ASOS!E4</f>
        <v>-22.1</v>
      </c>
      <c r="H3" s="45">
        <v>0.192</v>
      </c>
      <c r="I3" s="10">
        <f>D3/(1+(G3/F3)*(1-H3))</f>
        <v>1.6232971729473635</v>
      </c>
      <c r="J3" s="10">
        <f>I3*(F3/SUM($F$3:$F$5))</f>
        <v>0.7689672043103416</v>
      </c>
      <c r="L3" s="8" t="s">
        <v>57</v>
      </c>
      <c r="M3" s="9"/>
    </row>
    <row r="4" spans="2:13" x14ac:dyDescent="0.3">
      <c r="B4" s="41">
        <v>2</v>
      </c>
      <c r="C4" s="42" t="s">
        <v>114</v>
      </c>
      <c r="D4" s="42">
        <v>2.44</v>
      </c>
      <c r="E4" s="43" t="s">
        <v>85</v>
      </c>
      <c r="F4" s="44">
        <f>Boohoo!B24/1000</f>
        <v>2419.0576705279996</v>
      </c>
      <c r="G4" s="42">
        <f>(Boohoo!F4-Boohoo!E4)/1000</f>
        <v>-190.708</v>
      </c>
      <c r="H4" s="45">
        <v>0.20699999999999999</v>
      </c>
      <c r="I4" s="10">
        <f>D4/(1+(G4/F4)*(1-H4))</f>
        <v>2.6027129623264562</v>
      </c>
      <c r="J4" s="10">
        <f>I4*(F4/SUM($F$3:$F$5))</f>
        <v>1.36816959042835</v>
      </c>
      <c r="L4" s="8" t="s">
        <v>58</v>
      </c>
      <c r="M4" s="9"/>
    </row>
    <row r="5" spans="2:13" x14ac:dyDescent="0.3">
      <c r="B5" s="41">
        <v>3</v>
      </c>
      <c r="C5" s="42" t="s">
        <v>145</v>
      </c>
      <c r="D5" s="42">
        <v>2.1800000000000002</v>
      </c>
      <c r="E5" s="43" t="s">
        <v>143</v>
      </c>
      <c r="F5" s="46">
        <f>Boozt!B24/1000</f>
        <v>2.8644424204000001</v>
      </c>
      <c r="G5" s="42">
        <f>(Boozt!F4-Boozt!E4)/1000</f>
        <v>-0.1817</v>
      </c>
      <c r="H5" s="45">
        <v>0.13800000000000001</v>
      </c>
      <c r="I5" s="10">
        <f>D5/(1+(G5/F5)*(1-H5))</f>
        <v>2.3060954375527052</v>
      </c>
      <c r="J5" s="10">
        <f>I5*(F5/SUM($F$3:$F$5))</f>
        <v>1.4354392246166273E-3</v>
      </c>
    </row>
    <row r="6" spans="2:13" x14ac:dyDescent="0.3">
      <c r="B6" s="41">
        <v>4</v>
      </c>
      <c r="C6" s="47" t="s">
        <v>49</v>
      </c>
      <c r="D6" s="88" t="s">
        <v>178</v>
      </c>
      <c r="E6" s="89"/>
      <c r="F6" s="89"/>
      <c r="G6" s="89"/>
      <c r="H6" s="89"/>
      <c r="I6" s="89"/>
      <c r="J6" s="90"/>
      <c r="K6" t="s">
        <v>152</v>
      </c>
    </row>
    <row r="7" spans="2:13" x14ac:dyDescent="0.3">
      <c r="B7" s="41">
        <v>5</v>
      </c>
      <c r="C7" s="47" t="s">
        <v>157</v>
      </c>
      <c r="D7" s="91" t="s">
        <v>178</v>
      </c>
      <c r="E7" s="92"/>
      <c r="F7" s="92"/>
      <c r="G7" s="92"/>
      <c r="H7" s="92"/>
      <c r="I7" s="92"/>
      <c r="J7" s="93"/>
    </row>
    <row r="8" spans="2:13" x14ac:dyDescent="0.3">
      <c r="B8" s="41">
        <v>6</v>
      </c>
      <c r="C8" s="47" t="s">
        <v>158</v>
      </c>
      <c r="D8" s="88" t="s">
        <v>178</v>
      </c>
      <c r="E8" s="89"/>
      <c r="F8" s="89"/>
      <c r="G8" s="89"/>
      <c r="H8" s="89"/>
      <c r="I8" s="89"/>
      <c r="J8" s="90"/>
    </row>
    <row r="9" spans="2:13" x14ac:dyDescent="0.3">
      <c r="B9" s="41">
        <v>7</v>
      </c>
      <c r="C9" s="48" t="s">
        <v>100</v>
      </c>
      <c r="D9" s="49"/>
      <c r="E9" s="49"/>
      <c r="F9" s="42"/>
      <c r="G9" s="42"/>
      <c r="H9" s="50">
        <v>0.21</v>
      </c>
      <c r="I9" s="42"/>
      <c r="J9" s="42"/>
    </row>
    <row r="11" spans="2:13" x14ac:dyDescent="0.3">
      <c r="H11" t="s">
        <v>159</v>
      </c>
    </row>
    <row r="13" spans="2:13" x14ac:dyDescent="0.3">
      <c r="C13" t="s">
        <v>175</v>
      </c>
    </row>
    <row r="14" spans="2:13" x14ac:dyDescent="0.3">
      <c r="C14" s="1" t="s">
        <v>176</v>
      </c>
    </row>
    <row r="15" spans="2:13" x14ac:dyDescent="0.3">
      <c r="C15" s="1" t="s">
        <v>177</v>
      </c>
    </row>
  </sheetData>
  <mergeCells count="3">
    <mergeCell ref="D6:J6"/>
    <mergeCell ref="D7:J7"/>
    <mergeCell ref="D8:J8"/>
  </mergeCells>
  <hyperlinks>
    <hyperlink ref="C14" r:id="rId1" xr:uid="{1A228B64-0744-4EAA-A531-53FEAB4084A3}"/>
    <hyperlink ref="C15" r:id="rId2" xr:uid="{C1BDD320-2217-4AFC-A76A-6C09181FD4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First Screen</vt:lpstr>
      <vt:lpstr>Details</vt:lpstr>
      <vt:lpstr>Template</vt:lpstr>
      <vt:lpstr>Trading Comparables</vt:lpstr>
      <vt:lpstr>ASOS</vt:lpstr>
      <vt:lpstr>Boohoo</vt:lpstr>
      <vt:lpstr>Boozt</vt:lpstr>
      <vt:lpstr>Secoo Holding Limited</vt:lpstr>
      <vt:lpstr>Zozo</vt:lpstr>
      <vt:lpstr>Mogu Inc</vt:lpstr>
      <vt:lpstr>Revolve Group</vt:lpstr>
      <vt:lpstr>WACC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2015-06-05T18:17:20Z</dcterms:created>
  <dcterms:modified xsi:type="dcterms:W3CDTF">2019-07-17T02:58:00Z</dcterms:modified>
</cp:coreProperties>
</file>