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filterPrivacy="1"/>
  <xr:revisionPtr revIDLastSave="0" documentId="13_ncr:1_{C411F7BC-45A2-4B9D-B333-69A366AD7464}" xr6:coauthVersionLast="43" xr6:coauthVersionMax="43" xr10:uidLastSave="{00000000-0000-0000-0000-000000000000}"/>
  <bookViews>
    <workbookView xWindow="-108" yWindow="-108" windowWidth="23256" windowHeight="12576" tabRatio="825" xr2:uid="{00000000-000D-0000-FFFF-FFFF00000000}"/>
  </bookViews>
  <sheets>
    <sheet name="Cover" sheetId="9" r:id="rId1"/>
    <sheet name="Income Statement" sheetId="1" r:id="rId2"/>
    <sheet name="Balance Sheet" sheetId="2" r:id="rId3"/>
    <sheet name="Cash Flow Statement" sheetId="3" r:id="rId4"/>
    <sheet name="Financial Metrics" sheetId="7" r:id="rId5"/>
    <sheet name="Depreciation" sheetId="4" r:id="rId6"/>
    <sheet name="Operating Working Capital" sheetId="5" r:id="rId7"/>
    <sheet name="Debt Schedule" sheetId="6" r:id="rId8"/>
    <sheet name="DCF Analysis" sheetId="8" r:id="rId9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0" i="7"/>
  <c r="E13" i="7"/>
  <c r="J17" i="1"/>
  <c r="I17" i="1"/>
  <c r="F24" i="7"/>
  <c r="G24" i="7"/>
  <c r="H24" i="7"/>
  <c r="I24" i="7"/>
  <c r="F25" i="7"/>
  <c r="G25" i="7"/>
  <c r="H25" i="7"/>
  <c r="I25" i="7"/>
  <c r="F26" i="7"/>
  <c r="G26" i="7"/>
  <c r="F20" i="7"/>
  <c r="G20" i="7"/>
  <c r="E17" i="7"/>
  <c r="F38" i="8" l="1"/>
  <c r="E38" i="8"/>
  <c r="L26" i="8"/>
  <c r="O25" i="8"/>
  <c r="O22" i="8"/>
  <c r="E36" i="8" s="1"/>
  <c r="H11" i="8"/>
  <c r="G47" i="2"/>
  <c r="G17" i="4"/>
  <c r="F36" i="8" l="1"/>
  <c r="G41" i="2"/>
  <c r="H41" i="2" s="1"/>
  <c r="I41" i="2" s="1"/>
  <c r="J41" i="2" s="1"/>
  <c r="H47" i="2"/>
  <c r="I47" i="2" s="1"/>
  <c r="J47" i="2" s="1"/>
  <c r="G45" i="2"/>
  <c r="H45" i="2" s="1"/>
  <c r="I45" i="2" s="1"/>
  <c r="J45" i="2" s="1"/>
  <c r="G35" i="2"/>
  <c r="H35" i="2" s="1"/>
  <c r="I35" i="2" s="1"/>
  <c r="J35" i="2" s="1"/>
  <c r="G33" i="2"/>
  <c r="H33" i="2" s="1"/>
  <c r="I33" i="2" s="1"/>
  <c r="J33" i="2" s="1"/>
  <c r="G19" i="2"/>
  <c r="H19" i="2" s="1"/>
  <c r="I19" i="2" s="1"/>
  <c r="J19" i="2" s="1"/>
  <c r="G11" i="2"/>
  <c r="H11" i="2" s="1"/>
  <c r="I11" i="2" s="1"/>
  <c r="J11" i="2" s="1"/>
  <c r="G18" i="2"/>
  <c r="H18" i="2" s="1"/>
  <c r="I18" i="2" s="1"/>
  <c r="G26" i="2"/>
  <c r="H26" i="2" s="1"/>
  <c r="I26" i="2" s="1"/>
  <c r="J26" i="2" s="1"/>
  <c r="G24" i="2"/>
  <c r="H24" i="2" s="1"/>
  <c r="I24" i="2" s="1"/>
  <c r="J24" i="2" s="1"/>
  <c r="G23" i="2"/>
  <c r="H23" i="2" s="1"/>
  <c r="I23" i="2" s="1"/>
  <c r="J23" i="2" s="1"/>
  <c r="G22" i="2"/>
  <c r="H22" i="2" s="1"/>
  <c r="I22" i="2" s="1"/>
  <c r="J22" i="2" s="1"/>
  <c r="G20" i="2"/>
  <c r="H20" i="2" s="1"/>
  <c r="I20" i="2" s="1"/>
  <c r="J20" i="2" s="1"/>
  <c r="G21" i="2"/>
  <c r="H21" i="2" s="1"/>
  <c r="I21" i="2" s="1"/>
  <c r="J21" i="2" s="1"/>
  <c r="G9" i="2"/>
  <c r="H9" i="2" s="1"/>
  <c r="I9" i="2" s="1"/>
  <c r="J9" i="2" s="1"/>
  <c r="G8" i="2"/>
  <c r="H8" i="2" s="1"/>
  <c r="I8" i="2" s="1"/>
  <c r="J8" i="2" s="1"/>
  <c r="G7" i="2"/>
  <c r="H7" i="2" s="1"/>
  <c r="I7" i="2" s="1"/>
  <c r="J7" i="2" s="1"/>
  <c r="J18" i="2" l="1"/>
  <c r="G6" i="4"/>
  <c r="G11" i="8" s="1"/>
  <c r="G61" i="3"/>
  <c r="F62" i="3"/>
  <c r="G60" i="3" s="1"/>
  <c r="G5" i="1"/>
  <c r="F44" i="1" l="1"/>
  <c r="G44" i="1" s="1"/>
  <c r="H44" i="1" s="1"/>
  <c r="I44" i="1" s="1"/>
  <c r="J44" i="1" s="1"/>
  <c r="F45" i="1"/>
  <c r="G45" i="1" s="1"/>
  <c r="H45" i="1" s="1"/>
  <c r="I45" i="1" s="1"/>
  <c r="J45" i="1" s="1"/>
  <c r="D57" i="3" l="1"/>
  <c r="J52" i="3" l="1"/>
  <c r="G52" i="3"/>
  <c r="G40" i="2" l="1"/>
  <c r="G34" i="2"/>
  <c r="L25" i="8"/>
  <c r="L28" i="8" s="1"/>
  <c r="F17" i="8" s="1"/>
  <c r="I6" i="4" l="1"/>
  <c r="I11" i="8" s="1"/>
  <c r="I27" i="6" l="1"/>
  <c r="H52" i="3" s="1"/>
  <c r="J27" i="6"/>
  <c r="I52" i="3" s="1"/>
  <c r="K27" i="6"/>
  <c r="H27" i="6"/>
  <c r="G23" i="6"/>
  <c r="H20" i="6" s="1"/>
  <c r="G15" i="6"/>
  <c r="H12" i="6" s="1"/>
  <c r="G31" i="6"/>
  <c r="H6" i="6" s="1"/>
  <c r="H40" i="2" l="1"/>
  <c r="I40" i="2" s="1"/>
  <c r="H34" i="2"/>
  <c r="H23" i="6"/>
  <c r="I20" i="6" s="1"/>
  <c r="H15" i="6"/>
  <c r="I12" i="6" s="1"/>
  <c r="I34" i="2" l="1"/>
  <c r="J34" i="2" s="1"/>
  <c r="J40" i="2"/>
  <c r="H16" i="6"/>
  <c r="H24" i="6"/>
  <c r="I15" i="6"/>
  <c r="J12" i="6" s="1"/>
  <c r="I23" i="6"/>
  <c r="J20" i="6" s="1"/>
  <c r="H29" i="6" l="1"/>
  <c r="J23" i="6"/>
  <c r="K20" i="6" s="1"/>
  <c r="I24" i="6"/>
  <c r="I16" i="6"/>
  <c r="J15" i="6"/>
  <c r="K12" i="6" s="1"/>
  <c r="J24" i="6" l="1"/>
  <c r="G15" i="1"/>
  <c r="G54" i="3"/>
  <c r="I29" i="6"/>
  <c r="K15" i="6"/>
  <c r="K16" i="6" s="1"/>
  <c r="J16" i="6"/>
  <c r="J29" i="6" s="1"/>
  <c r="K23" i="6"/>
  <c r="K24" i="6"/>
  <c r="H15" i="1" l="1"/>
  <c r="H54" i="3"/>
  <c r="K29" i="6"/>
  <c r="I15" i="1"/>
  <c r="I54" i="3"/>
  <c r="J15" i="1"/>
  <c r="J54" i="3"/>
  <c r="H61" i="3" l="1"/>
  <c r="I61" i="3"/>
  <c r="J61" i="3"/>
  <c r="E14" i="3" l="1"/>
  <c r="F14" i="3"/>
  <c r="D14" i="3"/>
  <c r="H36" i="3"/>
  <c r="I36" i="3"/>
  <c r="H6" i="4"/>
  <c r="G36" i="3"/>
  <c r="H18" i="5"/>
  <c r="E19" i="1"/>
  <c r="F19" i="1"/>
  <c r="D19" i="1"/>
  <c r="H8" i="5"/>
  <c r="I21" i="5"/>
  <c r="J21" i="5" s="1"/>
  <c r="K21" i="5" s="1"/>
  <c r="I19" i="5"/>
  <c r="J19" i="5" s="1"/>
  <c r="K19" i="5" s="1"/>
  <c r="I17" i="5"/>
  <c r="J17" i="5" s="1"/>
  <c r="K17" i="5" s="1"/>
  <c r="I15" i="5"/>
  <c r="J15" i="5" s="1"/>
  <c r="K15" i="5" s="1"/>
  <c r="I11" i="5"/>
  <c r="J11" i="5" s="1"/>
  <c r="I9" i="5"/>
  <c r="I7" i="5"/>
  <c r="J7" i="5" l="1"/>
  <c r="K7" i="5" s="1"/>
  <c r="J9" i="5"/>
  <c r="K11" i="5"/>
  <c r="K9" i="5" l="1"/>
  <c r="F20" i="5"/>
  <c r="G20" i="5"/>
  <c r="F18" i="5"/>
  <c r="G18" i="5"/>
  <c r="G29" i="3" s="1"/>
  <c r="G32" i="2" s="1"/>
  <c r="F16" i="5"/>
  <c r="G16" i="5"/>
  <c r="F14" i="5"/>
  <c r="G14" i="5"/>
  <c r="F10" i="5"/>
  <c r="G10" i="5"/>
  <c r="F8" i="5"/>
  <c r="G8" i="5"/>
  <c r="G22" i="3" s="1"/>
  <c r="G16" i="2" s="1"/>
  <c r="E20" i="5"/>
  <c r="E18" i="5"/>
  <c r="E16" i="5"/>
  <c r="E14" i="5"/>
  <c r="E10" i="5"/>
  <c r="E8" i="5"/>
  <c r="F6" i="5"/>
  <c r="G6" i="5"/>
  <c r="E6" i="5"/>
  <c r="E9" i="4"/>
  <c r="F9" i="4"/>
  <c r="G8" i="4" s="1"/>
  <c r="D9" i="4"/>
  <c r="H17" i="4"/>
  <c r="I17" i="4"/>
  <c r="E8" i="4"/>
  <c r="F8" i="4"/>
  <c r="D8" i="4"/>
  <c r="E6" i="4"/>
  <c r="F6" i="4"/>
  <c r="D6" i="4"/>
  <c r="E5" i="4"/>
  <c r="F5" i="4"/>
  <c r="G5" i="4"/>
  <c r="G7" i="4" s="1"/>
  <c r="D5" i="4"/>
  <c r="E11" i="4" l="1"/>
  <c r="G23" i="5"/>
  <c r="E23" i="5"/>
  <c r="F23" i="5"/>
  <c r="G14" i="3"/>
  <c r="G6" i="2" s="1"/>
  <c r="G7" i="8"/>
  <c r="G9" i="4"/>
  <c r="G12" i="1"/>
  <c r="G15" i="5"/>
  <c r="F15" i="5"/>
  <c r="F17" i="5"/>
  <c r="G17" i="5"/>
  <c r="G7" i="5"/>
  <c r="F7" i="5"/>
  <c r="G19" i="5"/>
  <c r="F19" i="5"/>
  <c r="G11" i="5"/>
  <c r="F11" i="5"/>
  <c r="G21" i="5"/>
  <c r="F21" i="5"/>
  <c r="G9" i="5"/>
  <c r="F9" i="5"/>
  <c r="G10" i="4"/>
  <c r="H8" i="4"/>
  <c r="F11" i="4"/>
  <c r="E10" i="4"/>
  <c r="G15" i="4"/>
  <c r="F10" i="4"/>
  <c r="D10" i="4"/>
  <c r="D7" i="4"/>
  <c r="E7" i="4"/>
  <c r="F7" i="4"/>
  <c r="F24" i="5" l="1"/>
  <c r="G24" i="5"/>
  <c r="H14" i="3"/>
  <c r="H6" i="2" s="1"/>
  <c r="H7" i="8"/>
  <c r="H12" i="1"/>
  <c r="H9" i="4"/>
  <c r="I8" i="4" s="1"/>
  <c r="D4" i="7"/>
  <c r="D24" i="7" s="1"/>
  <c r="E4" i="7"/>
  <c r="E24" i="7" s="1"/>
  <c r="F4" i="7"/>
  <c r="C4" i="7"/>
  <c r="C24" i="7" s="1"/>
  <c r="I14" i="3" l="1"/>
  <c r="I6" i="2" s="1"/>
  <c r="I7" i="8"/>
  <c r="I12" i="1"/>
  <c r="I9" i="4"/>
  <c r="J8" i="4" s="1"/>
  <c r="F36" i="1"/>
  <c r="G29" i="1"/>
  <c r="G36" i="1" s="1"/>
  <c r="E55" i="1"/>
  <c r="F55" i="1"/>
  <c r="D55" i="1"/>
  <c r="G14" i="1"/>
  <c r="G13" i="1"/>
  <c r="G11" i="1"/>
  <c r="G19" i="1" s="1"/>
  <c r="G7" i="1"/>
  <c r="E7" i="1"/>
  <c r="D11" i="7" s="1"/>
  <c r="D25" i="7" s="1"/>
  <c r="F7" i="1"/>
  <c r="D7" i="1"/>
  <c r="C11" i="7" s="1"/>
  <c r="C25" i="7" s="1"/>
  <c r="E50" i="1"/>
  <c r="F50" i="1"/>
  <c r="D50" i="1"/>
  <c r="E53" i="1"/>
  <c r="F53" i="1"/>
  <c r="E52" i="1"/>
  <c r="F52" i="1"/>
  <c r="E51" i="1"/>
  <c r="F51" i="1"/>
  <c r="D53" i="1"/>
  <c r="D52" i="1"/>
  <c r="D51" i="1"/>
  <c r="E49" i="1"/>
  <c r="F49" i="1"/>
  <c r="D49" i="1"/>
  <c r="G6" i="1"/>
  <c r="F48" i="1"/>
  <c r="E48" i="1"/>
  <c r="H10" i="5" l="1"/>
  <c r="H16" i="5"/>
  <c r="G28" i="3" s="1"/>
  <c r="F17" i="1"/>
  <c r="E11" i="7"/>
  <c r="E25" i="7" s="1"/>
  <c r="F11" i="7"/>
  <c r="H14" i="5"/>
  <c r="G27" i="3" s="1"/>
  <c r="G30" i="2" s="1"/>
  <c r="H6" i="5"/>
  <c r="J7" i="8"/>
  <c r="J12" i="1"/>
  <c r="J14" i="3"/>
  <c r="G9" i="1"/>
  <c r="G17" i="1" s="1"/>
  <c r="H5" i="1"/>
  <c r="E48" i="3"/>
  <c r="F48" i="3"/>
  <c r="D48" i="3"/>
  <c r="E57" i="3"/>
  <c r="F57" i="3"/>
  <c r="E13" i="3"/>
  <c r="F13" i="3"/>
  <c r="D13" i="3"/>
  <c r="E7" i="3"/>
  <c r="F7" i="3"/>
  <c r="D7" i="3"/>
  <c r="G6" i="3" l="1"/>
  <c r="G25" i="1"/>
  <c r="G26" i="1"/>
  <c r="G21" i="1"/>
  <c r="G22" i="1" s="1"/>
  <c r="G37" i="1" s="1"/>
  <c r="G55" i="3" s="1"/>
  <c r="G57" i="3" s="1"/>
  <c r="G24" i="1"/>
  <c r="G21" i="3"/>
  <c r="G15" i="2" s="1"/>
  <c r="F24" i="1"/>
  <c r="F25" i="1"/>
  <c r="E10" i="7" s="1"/>
  <c r="E20" i="7" s="1"/>
  <c r="F26" i="1"/>
  <c r="F54" i="1"/>
  <c r="I8" i="5"/>
  <c r="I18" i="5"/>
  <c r="H29" i="3" s="1"/>
  <c r="H32" i="2" s="1"/>
  <c r="H5" i="4"/>
  <c r="G4" i="7"/>
  <c r="H11" i="1"/>
  <c r="H14" i="1"/>
  <c r="H29" i="1"/>
  <c r="H36" i="1" s="1"/>
  <c r="H13" i="1"/>
  <c r="G31" i="2"/>
  <c r="G39" i="2"/>
  <c r="G23" i="3"/>
  <c r="H9" i="1"/>
  <c r="I5" i="1"/>
  <c r="H6" i="1"/>
  <c r="H7" i="1" s="1"/>
  <c r="G11" i="7" s="1"/>
  <c r="E36" i="2"/>
  <c r="F36" i="2"/>
  <c r="E6" i="7" s="1"/>
  <c r="D36" i="2"/>
  <c r="E27" i="2"/>
  <c r="F27" i="2"/>
  <c r="D27" i="2"/>
  <c r="E12" i="2"/>
  <c r="E50" i="2" s="1"/>
  <c r="D13" i="7" s="1"/>
  <c r="D27" i="7" s="1"/>
  <c r="F12" i="2"/>
  <c r="F50" i="2" s="1"/>
  <c r="D12" i="2"/>
  <c r="D50" i="2" s="1"/>
  <c r="C13" i="7" s="1"/>
  <c r="C27" i="7" s="1"/>
  <c r="E42" i="2"/>
  <c r="F42" i="2"/>
  <c r="D42" i="2"/>
  <c r="E48" i="2"/>
  <c r="F48" i="2"/>
  <c r="D48" i="2"/>
  <c r="C6" i="7" l="1"/>
  <c r="C9" i="7"/>
  <c r="D6" i="7"/>
  <c r="D9" i="7"/>
  <c r="C8" i="7"/>
  <c r="C18" i="7" s="1"/>
  <c r="C5" i="7"/>
  <c r="C7" i="7" s="1"/>
  <c r="D51" i="2"/>
  <c r="E5" i="7"/>
  <c r="E7" i="7" s="1"/>
  <c r="E8" i="7"/>
  <c r="E18" i="7" s="1"/>
  <c r="F51" i="2"/>
  <c r="D5" i="7"/>
  <c r="D7" i="7" s="1"/>
  <c r="D8" i="7"/>
  <c r="D18" i="7" s="1"/>
  <c r="E51" i="2"/>
  <c r="J18" i="5"/>
  <c r="J8" i="5"/>
  <c r="I22" i="3" s="1"/>
  <c r="I5" i="4"/>
  <c r="H4" i="7"/>
  <c r="I29" i="1"/>
  <c r="I36" i="1" s="1"/>
  <c r="I14" i="1"/>
  <c r="I11" i="1"/>
  <c r="I19" i="1" s="1"/>
  <c r="I13" i="1"/>
  <c r="H7" i="4"/>
  <c r="H15" i="4"/>
  <c r="H10" i="4"/>
  <c r="H22" i="3"/>
  <c r="H16" i="2" s="1"/>
  <c r="G36" i="2"/>
  <c r="F6" i="7" s="1"/>
  <c r="H20" i="5"/>
  <c r="H23" i="5" s="1"/>
  <c r="H24" i="5" s="1"/>
  <c r="G10" i="8" s="1"/>
  <c r="G31" i="3"/>
  <c r="G12" i="8" s="1"/>
  <c r="G10" i="2"/>
  <c r="G17" i="2"/>
  <c r="H19" i="1"/>
  <c r="G6" i="8"/>
  <c r="F10" i="7"/>
  <c r="G42" i="2"/>
  <c r="F22" i="8"/>
  <c r="F23" i="8"/>
  <c r="F24" i="8" s="1"/>
  <c r="F25" i="8" s="1"/>
  <c r="E34" i="8" s="1"/>
  <c r="I14" i="5"/>
  <c r="H27" i="3" s="1"/>
  <c r="H30" i="2" s="1"/>
  <c r="I6" i="5"/>
  <c r="G30" i="3"/>
  <c r="F12" i="7"/>
  <c r="E9" i="7"/>
  <c r="E27" i="7"/>
  <c r="H17" i="1"/>
  <c r="I9" i="1"/>
  <c r="J5" i="1"/>
  <c r="I6" i="1"/>
  <c r="E36" i="1"/>
  <c r="D36" i="1"/>
  <c r="E17" i="1"/>
  <c r="D17" i="1"/>
  <c r="D29" i="7" l="1"/>
  <c r="D19" i="7"/>
  <c r="D28" i="7"/>
  <c r="D17" i="7"/>
  <c r="E28" i="7"/>
  <c r="C17" i="7"/>
  <c r="C28" i="7"/>
  <c r="C19" i="7"/>
  <c r="C29" i="7"/>
  <c r="G32" i="3"/>
  <c r="J10" i="5"/>
  <c r="J16" i="5"/>
  <c r="H21" i="3"/>
  <c r="H15" i="2" s="1"/>
  <c r="I16" i="2"/>
  <c r="I16" i="5"/>
  <c r="H28" i="3" s="1"/>
  <c r="I10" i="5"/>
  <c r="G12" i="2"/>
  <c r="I7" i="4"/>
  <c r="I15" i="4"/>
  <c r="I10" i="4"/>
  <c r="J14" i="5"/>
  <c r="I27" i="3" s="1"/>
  <c r="I30" i="2" s="1"/>
  <c r="J6" i="5"/>
  <c r="K18" i="5"/>
  <c r="J29" i="3" s="1"/>
  <c r="J5" i="4"/>
  <c r="K8" i="5"/>
  <c r="I4" i="7"/>
  <c r="J13" i="1"/>
  <c r="J7" i="1"/>
  <c r="I11" i="7" s="1"/>
  <c r="J11" i="1"/>
  <c r="J14" i="1"/>
  <c r="J29" i="1"/>
  <c r="J36" i="1" s="1"/>
  <c r="G13" i="8"/>
  <c r="G17" i="8" s="1"/>
  <c r="J22" i="3"/>
  <c r="D25" i="1"/>
  <c r="C10" i="7" s="1"/>
  <c r="C20" i="7" s="1"/>
  <c r="D24" i="1"/>
  <c r="D26" i="1"/>
  <c r="D54" i="1"/>
  <c r="E26" i="1"/>
  <c r="E24" i="1"/>
  <c r="E25" i="1"/>
  <c r="D10" i="7" s="1"/>
  <c r="D20" i="7" s="1"/>
  <c r="E54" i="1"/>
  <c r="I7" i="1"/>
  <c r="H11" i="7" s="1"/>
  <c r="I29" i="3"/>
  <c r="I32" i="2" s="1"/>
  <c r="H6" i="3"/>
  <c r="H24" i="1"/>
  <c r="H25" i="1"/>
  <c r="H26" i="1"/>
  <c r="H21" i="1"/>
  <c r="E19" i="7"/>
  <c r="E29" i="7"/>
  <c r="J9" i="1"/>
  <c r="J6" i="1"/>
  <c r="D22" i="1"/>
  <c r="D37" i="1" s="1"/>
  <c r="D6" i="3"/>
  <c r="D30" i="3" s="1"/>
  <c r="D32" i="3" s="1"/>
  <c r="F22" i="1"/>
  <c r="F37" i="1" s="1"/>
  <c r="F6" i="3"/>
  <c r="F30" i="3" s="1"/>
  <c r="F32" i="3" s="1"/>
  <c r="E22" i="1"/>
  <c r="E37" i="1" s="1"/>
  <c r="E6" i="3"/>
  <c r="E30" i="3" s="1"/>
  <c r="E32" i="3" s="1"/>
  <c r="J19" i="1" l="1"/>
  <c r="J16" i="2"/>
  <c r="F56" i="3"/>
  <c r="E12" i="7"/>
  <c r="E26" i="7" s="1"/>
  <c r="J32" i="2"/>
  <c r="I23" i="3"/>
  <c r="H23" i="3"/>
  <c r="I21" i="3"/>
  <c r="I15" i="2" s="1"/>
  <c r="J15" i="2" s="1"/>
  <c r="E56" i="3"/>
  <c r="D12" i="7"/>
  <c r="D26" i="7" s="1"/>
  <c r="H39" i="2"/>
  <c r="H31" i="2"/>
  <c r="D56" i="3"/>
  <c r="C12" i="7"/>
  <c r="C26" i="7" s="1"/>
  <c r="I28" i="3"/>
  <c r="J14" i="4"/>
  <c r="J10" i="4"/>
  <c r="K14" i="5"/>
  <c r="J27" i="3" s="1"/>
  <c r="J30" i="2" s="1"/>
  <c r="K6" i="5"/>
  <c r="J21" i="3" s="1"/>
  <c r="H6" i="8"/>
  <c r="G10" i="7"/>
  <c r="H31" i="3"/>
  <c r="H12" i="8" s="1"/>
  <c r="I20" i="5"/>
  <c r="I6" i="3"/>
  <c r="I26" i="1"/>
  <c r="I25" i="1"/>
  <c r="I24" i="1"/>
  <c r="I21" i="1"/>
  <c r="I22" i="1" s="1"/>
  <c r="I37" i="1" s="1"/>
  <c r="H22" i="1"/>
  <c r="H37" i="1" s="1"/>
  <c r="I30" i="3" l="1"/>
  <c r="I31" i="2"/>
  <c r="H36" i="2"/>
  <c r="G6" i="7" s="1"/>
  <c r="H17" i="2"/>
  <c r="I17" i="2" s="1"/>
  <c r="H10" i="2"/>
  <c r="H42" i="2"/>
  <c r="I39" i="2"/>
  <c r="K16" i="5"/>
  <c r="J28" i="3" s="1"/>
  <c r="K10" i="5"/>
  <c r="J23" i="3" s="1"/>
  <c r="H30" i="3"/>
  <c r="H32" i="3" s="1"/>
  <c r="I23" i="5"/>
  <c r="I24" i="5" s="1"/>
  <c r="H10" i="8" s="1"/>
  <c r="H13" i="8" s="1"/>
  <c r="H17" i="8" s="1"/>
  <c r="J6" i="3"/>
  <c r="J25" i="1"/>
  <c r="J26" i="1"/>
  <c r="J24" i="1"/>
  <c r="J22" i="1"/>
  <c r="J37" i="1" s="1"/>
  <c r="I55" i="3"/>
  <c r="I57" i="3" s="1"/>
  <c r="H12" i="7"/>
  <c r="H26" i="7" s="1"/>
  <c r="H55" i="3"/>
  <c r="H57" i="3" s="1"/>
  <c r="G12" i="7"/>
  <c r="I31" i="3"/>
  <c r="J20" i="5"/>
  <c r="I6" i="8"/>
  <c r="H10" i="7"/>
  <c r="H20" i="7" s="1"/>
  <c r="I10" i="2" l="1"/>
  <c r="H12" i="2"/>
  <c r="J39" i="2"/>
  <c r="J42" i="2" s="1"/>
  <c r="I42" i="2"/>
  <c r="J30" i="3"/>
  <c r="J17" i="2"/>
  <c r="J31" i="2"/>
  <c r="J36" i="2" s="1"/>
  <c r="I6" i="7" s="1"/>
  <c r="I36" i="2"/>
  <c r="H6" i="7" s="1"/>
  <c r="I32" i="3"/>
  <c r="I12" i="8"/>
  <c r="J23" i="5"/>
  <c r="J24" i="5" s="1"/>
  <c r="I10" i="8" s="1"/>
  <c r="I13" i="8" s="1"/>
  <c r="I17" i="8" s="1"/>
  <c r="J31" i="3"/>
  <c r="J12" i="8" s="1"/>
  <c r="K20" i="5"/>
  <c r="J6" i="8"/>
  <c r="I10" i="7"/>
  <c r="J17" i="4"/>
  <c r="J32" i="3" l="1"/>
  <c r="J10" i="2"/>
  <c r="I12" i="2"/>
  <c r="K23" i="5"/>
  <c r="K24" i="5" s="1"/>
  <c r="J10" i="8" s="1"/>
  <c r="J55" i="3"/>
  <c r="J57" i="3" s="1"/>
  <c r="I12" i="7"/>
  <c r="I26" i="7" s="1"/>
  <c r="J9" i="4"/>
  <c r="J6" i="4"/>
  <c r="J11" i="8" s="1"/>
  <c r="J13" i="8" l="1"/>
  <c r="J17" i="8" s="1"/>
  <c r="F27" i="8" s="1"/>
  <c r="F29" i="8" s="1"/>
  <c r="F30" i="8" s="1"/>
  <c r="F34" i="8" s="1"/>
  <c r="J36" i="3"/>
  <c r="J6" i="2" s="1"/>
  <c r="J12" i="2" s="1"/>
  <c r="J7" i="4"/>
  <c r="G18" i="8" l="1"/>
  <c r="E33" i="8" s="1"/>
  <c r="E35" i="8" s="1"/>
  <c r="E37" i="8" s="1"/>
  <c r="E39" i="8" s="1"/>
  <c r="C21" i="9" s="1"/>
  <c r="F33" i="8" l="1"/>
  <c r="F35" i="8" s="1"/>
  <c r="F37" i="8" s="1"/>
  <c r="F39" i="8" s="1"/>
  <c r="G25" i="2" l="1"/>
  <c r="H25" i="2"/>
  <c r="I25" i="2"/>
  <c r="J25" i="2"/>
  <c r="G27" i="2"/>
  <c r="H27" i="2"/>
  <c r="I27" i="2"/>
  <c r="J27" i="2"/>
  <c r="G46" i="2"/>
  <c r="H46" i="2"/>
  <c r="I46" i="2"/>
  <c r="J46" i="2"/>
  <c r="G48" i="2"/>
  <c r="H48" i="2"/>
  <c r="I48" i="2"/>
  <c r="J48" i="2"/>
  <c r="G50" i="2"/>
  <c r="H50" i="2"/>
  <c r="I50" i="2"/>
  <c r="J50" i="2"/>
  <c r="G51" i="2"/>
  <c r="H51" i="2"/>
  <c r="I51" i="2"/>
  <c r="J51" i="2"/>
  <c r="G52" i="2"/>
  <c r="H52" i="2"/>
  <c r="I52" i="2"/>
  <c r="J52" i="2"/>
  <c r="G35" i="3"/>
  <c r="H35" i="3"/>
  <c r="I35" i="3"/>
  <c r="J35" i="3"/>
  <c r="G48" i="3"/>
  <c r="H48" i="3"/>
  <c r="I48" i="3"/>
  <c r="J48" i="3"/>
  <c r="G59" i="3"/>
  <c r="H59" i="3"/>
  <c r="I59" i="3"/>
  <c r="J59" i="3"/>
  <c r="H60" i="3"/>
  <c r="I60" i="3"/>
  <c r="J60" i="3"/>
  <c r="G62" i="3"/>
  <c r="H62" i="3"/>
  <c r="I62" i="3"/>
  <c r="J62" i="3"/>
  <c r="G65" i="3"/>
  <c r="H65" i="3"/>
  <c r="I65" i="3"/>
  <c r="J65" i="3"/>
  <c r="I6" i="6"/>
  <c r="J6" i="6"/>
  <c r="K6" i="6"/>
  <c r="H7" i="6"/>
  <c r="I7" i="6"/>
  <c r="J7" i="6"/>
  <c r="K7" i="6"/>
  <c r="H9" i="6"/>
  <c r="I9" i="6"/>
  <c r="J9" i="6"/>
  <c r="K9" i="6"/>
  <c r="H31" i="6"/>
  <c r="I31" i="6"/>
  <c r="J31" i="6"/>
  <c r="K31" i="6"/>
  <c r="H32" i="6"/>
  <c r="I32" i="6"/>
  <c r="J32" i="6"/>
  <c r="K32" i="6"/>
  <c r="F5" i="7"/>
  <c r="G5" i="7"/>
  <c r="H5" i="7"/>
  <c r="I5" i="7"/>
  <c r="F7" i="7"/>
  <c r="G7" i="7"/>
  <c r="H7" i="7"/>
  <c r="I7" i="7"/>
  <c r="F8" i="7"/>
  <c r="G8" i="7"/>
  <c r="H8" i="7"/>
  <c r="I8" i="7"/>
  <c r="F9" i="7"/>
  <c r="G9" i="7"/>
  <c r="H9" i="7"/>
  <c r="I9" i="7"/>
  <c r="F13" i="7"/>
  <c r="G13" i="7"/>
  <c r="H13" i="7"/>
  <c r="I13" i="7"/>
  <c r="F17" i="7"/>
  <c r="G17" i="7"/>
  <c r="H17" i="7"/>
  <c r="I17" i="7"/>
  <c r="F18" i="7"/>
  <c r="G18" i="7"/>
  <c r="H18" i="7"/>
  <c r="I18" i="7"/>
  <c r="F19" i="7"/>
  <c r="G19" i="7"/>
  <c r="H19" i="7"/>
  <c r="I19" i="7"/>
  <c r="F27" i="7"/>
  <c r="G27" i="7"/>
  <c r="H27" i="7"/>
  <c r="I27" i="7"/>
  <c r="F28" i="7"/>
  <c r="G28" i="7"/>
  <c r="H28" i="7"/>
  <c r="I28" i="7"/>
  <c r="F29" i="7"/>
  <c r="G29" i="7"/>
  <c r="H29" i="7"/>
  <c r="I29" i="7"/>
</calcChain>
</file>

<file path=xl/sharedStrings.xml><?xml version="1.0" encoding="utf-8"?>
<sst xmlns="http://schemas.openxmlformats.org/spreadsheetml/2006/main" count="505" uniqueCount="320">
  <si>
    <t>Revenue</t>
  </si>
  <si>
    <t>COGS</t>
  </si>
  <si>
    <t>Gross profit</t>
  </si>
  <si>
    <t>Other income and gains, net</t>
  </si>
  <si>
    <t>Gain on disposal of non-current assets classified as held for sale</t>
  </si>
  <si>
    <t>Staff costs</t>
  </si>
  <si>
    <t>Rental and related expenses</t>
  </si>
  <si>
    <t>Depreciation and amortisation</t>
  </si>
  <si>
    <t>Other operating expenses, net</t>
  </si>
  <si>
    <t>Finance costs</t>
  </si>
  <si>
    <t>Listing expenses</t>
  </si>
  <si>
    <t>PROFIT BEFORE TAX</t>
  </si>
  <si>
    <t>Income tax expense</t>
  </si>
  <si>
    <t>PROFIT FOR THE YEAR</t>
  </si>
  <si>
    <t>Owners of the Company</t>
  </si>
  <si>
    <t>Non-controlling interests</t>
  </si>
  <si>
    <t>HK$’000</t>
  </si>
  <si>
    <t>Year</t>
  </si>
  <si>
    <t>Other comprehensive income/(loss):</t>
  </si>
  <si>
    <t>Exchange differences on translation of foreign operations</t>
  </si>
  <si>
    <t xml:space="preserve">Reclassification adjustment for foreign operations deregistered </t>
  </si>
  <si>
    <t>Release of exchange reserve upon disposal of subsidiaries</t>
  </si>
  <si>
    <t>Gain on asset revaluation</t>
  </si>
  <si>
    <t>TOTAL COMPREHENSIVE INCOME FOR THE YEAR</t>
  </si>
  <si>
    <t>Other comprehensive income not to be reclassified:</t>
  </si>
  <si>
    <t>Attributable to:</t>
  </si>
  <si>
    <t>NON-CURRENT ASSETS</t>
  </si>
  <si>
    <t>Property, plant and equipment</t>
  </si>
  <si>
    <t>Prepaid land lease payments</t>
  </si>
  <si>
    <t>Investment properties</t>
  </si>
  <si>
    <t>Intangible asset</t>
  </si>
  <si>
    <t>Prepayments, deposits and other receivables</t>
  </si>
  <si>
    <t>Deferred tax assets</t>
  </si>
  <si>
    <t>Total non-current assets</t>
  </si>
  <si>
    <t>CURRENT ASSETS</t>
  </si>
  <si>
    <t>Inventories</t>
  </si>
  <si>
    <t>Trade receivables</t>
  </si>
  <si>
    <t>Loans to related companies</t>
  </si>
  <si>
    <t>Due from related companies</t>
  </si>
  <si>
    <t>Due from related parties</t>
  </si>
  <si>
    <t>Due from a director</t>
  </si>
  <si>
    <t>Financial assets at fair value through profit or loss</t>
  </si>
  <si>
    <t>Debt investments at amortised cost</t>
  </si>
  <si>
    <t>Tax recoverable</t>
  </si>
  <si>
    <t>Cash and cash equivalents</t>
  </si>
  <si>
    <t>Non-current assets classified as held for sale</t>
  </si>
  <si>
    <t>Total current assets</t>
  </si>
  <si>
    <t>CURRENT LIABILITIES</t>
  </si>
  <si>
    <t>Trade payables</t>
  </si>
  <si>
    <t>Other payables and accruals</t>
  </si>
  <si>
    <t>Contract liabilities</t>
  </si>
  <si>
    <t>Due to related companies</t>
  </si>
  <si>
    <t>Interest-bearing bank borrowings</t>
  </si>
  <si>
    <t>Tax payable</t>
  </si>
  <si>
    <t>Total current liabilities</t>
  </si>
  <si>
    <t>NON-CURRENT LIABILITIES</t>
  </si>
  <si>
    <t>Deferred tax liabilities</t>
  </si>
  <si>
    <t>Total non-current liabilities</t>
  </si>
  <si>
    <t>EQUITY</t>
  </si>
  <si>
    <t>Issued capital</t>
  </si>
  <si>
    <t>Reserves</t>
  </si>
  <si>
    <t>Total equity</t>
  </si>
  <si>
    <t>Total Assets</t>
  </si>
  <si>
    <t>Total Liabilities &amp; Equity</t>
  </si>
  <si>
    <t>CASH FLOWS FROM OPERATING ACTIVITIES</t>
  </si>
  <si>
    <t>Profit before tax</t>
  </si>
  <si>
    <t>Bank interest income</t>
  </si>
  <si>
    <t>Interest income from related companies</t>
  </si>
  <si>
    <t>Loss on disposal of items of property, plant, and equipment</t>
  </si>
  <si>
    <t>Loss on disposal of an investment property</t>
  </si>
  <si>
    <t>Gain on disposal of subsidiaries</t>
  </si>
  <si>
    <t>Depreciation</t>
  </si>
  <si>
    <t>Impairment of items of property, plant and equipment</t>
  </si>
  <si>
    <t>Fair value loss/(gain) on financial assets at fair value through profit or loss</t>
  </si>
  <si>
    <t>Fair value gain on investment properties</t>
  </si>
  <si>
    <t>Gain on deregistration of subsidiaries</t>
  </si>
  <si>
    <t>Cash coupon forfeited</t>
  </si>
  <si>
    <t>Bad debt written off</t>
  </si>
  <si>
    <t>Blue: Hard-coded numbers</t>
  </si>
  <si>
    <t>Blue with highlight: Assumptions</t>
  </si>
  <si>
    <t>Black: Excel formula</t>
  </si>
  <si>
    <t>Green: Linked items from other worksheets</t>
  </si>
  <si>
    <t>Decrease/(increase) in inventories</t>
  </si>
  <si>
    <t>Decrease/(increase) in trade receivables</t>
  </si>
  <si>
    <t>Decrease/(increase) in prepayments, deposits and other receivables</t>
  </si>
  <si>
    <t>Movement in balances with related parties</t>
  </si>
  <si>
    <t>Movement in balances with related companies</t>
  </si>
  <si>
    <t>Decrease in an amount due from a director</t>
  </si>
  <si>
    <t>Increase/(decrease) in trade payables</t>
  </si>
  <si>
    <t>Increase/(decrease) in other payables and accruals</t>
  </si>
  <si>
    <t>Increase in contract liabilities</t>
  </si>
  <si>
    <t>Cash generated from operations</t>
  </si>
  <si>
    <t>Net cash flows from operating activities</t>
  </si>
  <si>
    <t>CASH FLOWS FROM INVESTING ACTIVITIES</t>
  </si>
  <si>
    <t>Interest received</t>
  </si>
  <si>
    <t>Purchases of items of property, plant and equipment</t>
  </si>
  <si>
    <t>Purchase of an intangible asset</t>
  </si>
  <si>
    <t>Proceeds from disposal of items of property, plant and equipment</t>
  </si>
  <si>
    <t>Proceeds from disposal of investment properties</t>
  </si>
  <si>
    <t>Proceeds from disposal of financial assets at fair value through profit or loss</t>
  </si>
  <si>
    <t>Proceeds from disposal of debt investments at amortised cost</t>
  </si>
  <si>
    <t>Disposal of subsidiaries</t>
  </si>
  <si>
    <t>Proceeds from disposal of non-current assets classified as held for sales</t>
  </si>
  <si>
    <t>Purchase of investment properties</t>
  </si>
  <si>
    <t>Acquisition of financial assets at fair value through profit or loss</t>
  </si>
  <si>
    <t>Acquisition of debt investments at amortised cost</t>
  </si>
  <si>
    <t>Acquisition of subsidiaries</t>
  </si>
  <si>
    <t>Net cash flows from/(used in) investing activities</t>
  </si>
  <si>
    <t>CASH FLOWS FROM FINANCING ACTIVITIES</t>
  </si>
  <si>
    <t>Proceeds from issue of a share</t>
  </si>
  <si>
    <t>Capital element of finance lease payments</t>
  </si>
  <si>
    <t>Interest paid on bank borrowings</t>
  </si>
  <si>
    <t>Dividend paid</t>
  </si>
  <si>
    <t>Net cash flows from/(used in) financing activities</t>
  </si>
  <si>
    <t>NET INCREASE IN CASH AND CASH EQUIVALENTS</t>
  </si>
  <si>
    <t>Cash and cash equivalents at beginning of year</t>
  </si>
  <si>
    <t>Effect of foreign exchange rate changes, net</t>
  </si>
  <si>
    <t>CASH AND CASH EQUIVALENTS AT END OF YEAR</t>
  </si>
  <si>
    <t>Comments</t>
  </si>
  <si>
    <t>Revenue growth (%)</t>
  </si>
  <si>
    <t>COGS asa % of Revenue</t>
  </si>
  <si>
    <t>Debt Schedule</t>
  </si>
  <si>
    <t>Depreciation Schedule</t>
  </si>
  <si>
    <t>Non-recurring</t>
  </si>
  <si>
    <t>Staff costs as a % of Revenue</t>
  </si>
  <si>
    <t>Rental and related expenses as a % of Revenue</t>
  </si>
  <si>
    <t>Other operating expenses, net as a % of Revenue</t>
  </si>
  <si>
    <t>Stable</t>
  </si>
  <si>
    <t>Growing YoY. High end used</t>
  </si>
  <si>
    <t>Growing YoY. Higher costs assumed</t>
  </si>
  <si>
    <t>Other income and gains, net as a % of Revenue</t>
  </si>
  <si>
    <t>Income Tax as a % of Profit Before Tax</t>
  </si>
  <si>
    <t>Need to check Annual Report</t>
  </si>
  <si>
    <t>Non-recurring. Note, higher income 2018 for gain on disposal</t>
  </si>
  <si>
    <t>Set as non-recurring for now</t>
  </si>
  <si>
    <t>Total Other comprehensive income</t>
  </si>
  <si>
    <t>Honestly not sure how this breaks down</t>
  </si>
  <si>
    <t xml:space="preserve">Capital Expenditures </t>
  </si>
  <si>
    <t>Capital Expenditures as a % of Revenue</t>
  </si>
  <si>
    <t>2016A</t>
  </si>
  <si>
    <t>2017A</t>
  </si>
  <si>
    <t>2018A</t>
  </si>
  <si>
    <t>Current assets</t>
  </si>
  <si>
    <t>Inventory turnover days</t>
  </si>
  <si>
    <t>Days receivable</t>
  </si>
  <si>
    <t>Current liabilities</t>
  </si>
  <si>
    <t>Days payable</t>
  </si>
  <si>
    <t>Total operating working capital</t>
  </si>
  <si>
    <t>Change in total operating working capital</t>
  </si>
  <si>
    <t>DRIVERS</t>
  </si>
  <si>
    <t>Income</t>
  </si>
  <si>
    <t>SG&amp;A</t>
  </si>
  <si>
    <t>Income Taxes Paid</t>
  </si>
  <si>
    <t>http://www.candor-holdings.com/equities/wp-content/uploads/sites/2/2016/02/types_of_financial_ratios_19mar_2012.pdf</t>
  </si>
  <si>
    <t>Current Ratio</t>
  </si>
  <si>
    <t>Liquidity Ratio</t>
  </si>
  <si>
    <t>Leverage Ratio</t>
  </si>
  <si>
    <t>Debt Ratio</t>
  </si>
  <si>
    <t>Interest Coverage Ratio</t>
  </si>
  <si>
    <t>Profitablity Ratio</t>
  </si>
  <si>
    <t>Gross Profit Margin</t>
  </si>
  <si>
    <t>Net Profit Margin</t>
  </si>
  <si>
    <t>Asset Management Ratio</t>
  </si>
  <si>
    <t>Total Asset Turnover</t>
  </si>
  <si>
    <t>N/A</t>
  </si>
  <si>
    <t>Quick asset Ratio</t>
  </si>
  <si>
    <t>EBITDA</t>
  </si>
  <si>
    <t>EBIT</t>
  </si>
  <si>
    <t>EBT (similar to above, profit before tax)</t>
  </si>
  <si>
    <t>RAW DATA</t>
  </si>
  <si>
    <t>Revenue (HK$’000)</t>
  </si>
  <si>
    <t>Expected PPE</t>
  </si>
  <si>
    <t>Expansion Plan Projected Total</t>
  </si>
  <si>
    <t>Expand the restaurant network, uplift the existing restaurants, as well as enhance and expand the Food Factories</t>
  </si>
  <si>
    <t>Acquiring of new China Food Factory</t>
  </si>
  <si>
    <t>Projected CAPEX as a % of Projected Revenue</t>
  </si>
  <si>
    <t>Depreciaiton as a % of Total Revenue</t>
  </si>
  <si>
    <t>Total Expected PPE</t>
  </si>
  <si>
    <t>It is estimated that there will be an increase in depreciation expenses of HK$31.6 million for FY2019</t>
  </si>
  <si>
    <t>Depreciaiton as a % of Last Year's PPE</t>
  </si>
  <si>
    <t>wtf</t>
  </si>
  <si>
    <t>Total D&amp;A</t>
  </si>
  <si>
    <t>Unable to forecast</t>
  </si>
  <si>
    <t>Taxes Paid (HK + Overseas)</t>
  </si>
  <si>
    <t>Cycle format used</t>
  </si>
  <si>
    <t>Total Borrowings</t>
  </si>
  <si>
    <t>Average common shares outstanding</t>
  </si>
  <si>
    <t>**** Share Capital is used, Page 486</t>
  </si>
  <si>
    <t>APPENDIX V, STATUTORY AND GENERAL INFORMATION</t>
  </si>
  <si>
    <t xml:space="preserve">Basic </t>
  </si>
  <si>
    <t>Diluted</t>
  </si>
  <si>
    <t>Outstanding Options page 506</t>
  </si>
  <si>
    <t>Cash available to pay down debt</t>
  </si>
  <si>
    <t>Cash at beginning of year</t>
  </si>
  <si>
    <t>Cash flow before debt paydown</t>
  </si>
  <si>
    <t>Minimum cash cushion</t>
  </si>
  <si>
    <t>Total cash available to pay down debt</t>
  </si>
  <si>
    <t>Short term borrowings / revolver</t>
  </si>
  <si>
    <t>Short term borrowings (beginning of year)</t>
  </si>
  <si>
    <r>
      <rPr>
        <u/>
        <sz val="9"/>
        <rFont val="Arial"/>
        <family val="2"/>
      </rPr>
      <t>Mandatory</t>
    </r>
    <r>
      <rPr>
        <sz val="9"/>
        <rFont val="Arial"/>
        <family val="2"/>
      </rPr>
      <t xml:space="preserve"> issuances / (retirements) </t>
    </r>
  </si>
  <si>
    <r>
      <rPr>
        <u/>
        <sz val="9"/>
        <rFont val="Arial"/>
        <family val="2"/>
      </rPr>
      <t xml:space="preserve">Non-mandatory </t>
    </r>
    <r>
      <rPr>
        <sz val="9"/>
        <rFont val="Arial"/>
        <family val="2"/>
      </rPr>
      <t>issuances / (retirements)</t>
    </r>
  </si>
  <si>
    <t>Short term borrowings (end of year)</t>
  </si>
  <si>
    <t>Short term interest expense</t>
  </si>
  <si>
    <t>Short term interest rate</t>
  </si>
  <si>
    <t>Total issuances / (retirements)</t>
  </si>
  <si>
    <t>Total interest expense</t>
  </si>
  <si>
    <t>Cash at the end of the year</t>
  </si>
  <si>
    <t>Interest income</t>
  </si>
  <si>
    <t>Interest rate</t>
  </si>
  <si>
    <t>SUPPLEMENTAL DATA:</t>
  </si>
  <si>
    <t>Long term borrowings / revolver</t>
  </si>
  <si>
    <t>Long term borrowings (beginning of year)</t>
  </si>
  <si>
    <t>Long term borrowings (end of year)</t>
  </si>
  <si>
    <t>Long term interest expense</t>
  </si>
  <si>
    <t>Long term interest rate</t>
  </si>
  <si>
    <t>Ranges of interest rates were given in Page 316</t>
  </si>
  <si>
    <t>Deferred Tax Assets &amp; Liabiliteis Page 436 + 437</t>
  </si>
  <si>
    <t>Page 437**</t>
  </si>
  <si>
    <t>Unlevered Free Cash Flow</t>
  </si>
  <si>
    <t>Depreciation &amp; Amortization</t>
  </si>
  <si>
    <t>Deferred Taxes</t>
  </si>
  <si>
    <t>Other</t>
  </si>
  <si>
    <t>Changes in Working Capital</t>
  </si>
  <si>
    <t>Capital Expenditures</t>
  </si>
  <si>
    <t>Taxes</t>
  </si>
  <si>
    <t>Total Unlevered Free Cash Flow</t>
  </si>
  <si>
    <t>Net Present Value Calulation</t>
  </si>
  <si>
    <t>Period</t>
  </si>
  <si>
    <t>Discounted Cash Flow</t>
  </si>
  <si>
    <t>Total Net Present Value</t>
  </si>
  <si>
    <t>Terminal Value</t>
  </si>
  <si>
    <t>EBITDA Method</t>
  </si>
  <si>
    <t>Cost of Capital</t>
  </si>
  <si>
    <t>Exit Year EBITDA</t>
  </si>
  <si>
    <t xml:space="preserve">Risk Free Rate </t>
  </si>
  <si>
    <t>Multiple</t>
  </si>
  <si>
    <t xml:space="preserve">Market Risk Premium </t>
  </si>
  <si>
    <t xml:space="preserve">Stock Price </t>
  </si>
  <si>
    <t xml:space="preserve">Beta </t>
  </si>
  <si>
    <t>Shares Outstanding</t>
  </si>
  <si>
    <t>Net Present Value</t>
  </si>
  <si>
    <t xml:space="preserve">Cost of Equity </t>
  </si>
  <si>
    <t>Equity Value</t>
  </si>
  <si>
    <t>Perpetuity Method</t>
  </si>
  <si>
    <t xml:space="preserve">Cost of Debt </t>
  </si>
  <si>
    <t>Growth Rate</t>
  </si>
  <si>
    <t>WACC</t>
  </si>
  <si>
    <t>Need to use a MRP based on the index, S&amp;P500</t>
  </si>
  <si>
    <t xml:space="preserve">Discounted Cash Flow Total Valuation </t>
  </si>
  <si>
    <t xml:space="preserve">EBITDA Method </t>
  </si>
  <si>
    <t>^ Cost of debt should use current rates of debt</t>
  </si>
  <si>
    <t>Total of Present Value of Cash Flows</t>
  </si>
  <si>
    <t>sama sama</t>
  </si>
  <si>
    <t>Current Corporate Debt Rating would be amazing</t>
  </si>
  <si>
    <t>Present Value of Terminal Value</t>
  </si>
  <si>
    <t>Total Enterprise Value</t>
  </si>
  <si>
    <t>Net Debt, Non-controlling interests, preferred securities</t>
  </si>
  <si>
    <t>Share Count (millions)</t>
  </si>
  <si>
    <t>Estimated Equity Value per Share</t>
  </si>
  <si>
    <t>Debt schedule // pushed to the bottom</t>
  </si>
  <si>
    <t>Dividends as a % of NI</t>
  </si>
  <si>
    <t>Assumption of no changes in deferred taxes</t>
  </si>
  <si>
    <t>All Okay</t>
  </si>
  <si>
    <t>Wrong way of looking but so be it</t>
  </si>
  <si>
    <t>Might be wrong driver</t>
  </si>
  <si>
    <t>Closed</t>
  </si>
  <si>
    <t>No Driver</t>
  </si>
  <si>
    <t>No Driver as no change is assumed</t>
  </si>
  <si>
    <t>No Driver, conflicitng CA above</t>
  </si>
  <si>
    <t>Debt YE 2018</t>
  </si>
  <si>
    <t>Company Description</t>
  </si>
  <si>
    <t>Sheet Navigator</t>
  </si>
  <si>
    <t>1. Income Statement</t>
  </si>
  <si>
    <t>Consolidated annual income statement</t>
  </si>
  <si>
    <t>2. Balance Sheet</t>
  </si>
  <si>
    <t>Consolidated annual balance sheet</t>
  </si>
  <si>
    <t>3. Cash Flow Statement</t>
  </si>
  <si>
    <t>Consolidated statement of cash flows</t>
  </si>
  <si>
    <t>General Information</t>
  </si>
  <si>
    <t>Company Name:</t>
  </si>
  <si>
    <t>Ticker:</t>
  </si>
  <si>
    <t>Last Historical Year:</t>
  </si>
  <si>
    <t>Colour Convention</t>
  </si>
  <si>
    <t>Indsutry</t>
  </si>
  <si>
    <t>Valuation Date:</t>
  </si>
  <si>
    <t>8th of July 2019</t>
  </si>
  <si>
    <t>Current Price (US$):</t>
  </si>
  <si>
    <t>Target Price (US$):</t>
  </si>
  <si>
    <t>Unlevered Cash Flows and WACC calculations</t>
  </si>
  <si>
    <t>Bear</t>
  </si>
  <si>
    <t>Base</t>
  </si>
  <si>
    <t>Bull</t>
  </si>
  <si>
    <t>4. Financial Metrics</t>
  </si>
  <si>
    <t>5. Depreciation</t>
  </si>
  <si>
    <t>6. Operating Working Capital</t>
  </si>
  <si>
    <t>7. Debt Schedule</t>
  </si>
  <si>
    <t>8. DCF Analysis</t>
  </si>
  <si>
    <t>Tai Hing Holdings</t>
  </si>
  <si>
    <t>Tai Hing Group Holdings Ltd is a multi-brand casual dining restaurant group originated in Hong Kong. It offers a wide range of cuisines in Hong Kong, Mainland China, Macau and Taiwan.</t>
  </si>
  <si>
    <t>Tai Hing Group Holdings</t>
  </si>
  <si>
    <t>HK:6811</t>
  </si>
  <si>
    <t>Restaurants</t>
  </si>
  <si>
    <t>Historical</t>
  </si>
  <si>
    <t>Projection Period</t>
  </si>
  <si>
    <t>Year ended 31st December</t>
  </si>
  <si>
    <t>2019F</t>
  </si>
  <si>
    <t>2020F</t>
  </si>
  <si>
    <t>2021F</t>
  </si>
  <si>
    <t>2022F</t>
  </si>
  <si>
    <t>For the Slides</t>
  </si>
  <si>
    <t>Useful Links:</t>
  </si>
  <si>
    <t>^ Links</t>
  </si>
  <si>
    <t>Projection of Working Capital Accounts</t>
  </si>
  <si>
    <t>Projeciton of PPE and Depreciation</t>
  </si>
  <si>
    <t>Projection of Issuances and Retirements of Debt</t>
  </si>
  <si>
    <t>Important Ratios</t>
  </si>
  <si>
    <t>2019E</t>
  </si>
  <si>
    <t>2020E</t>
  </si>
  <si>
    <t>2021E</t>
  </si>
  <si>
    <t>2022E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</si>
</sst>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* #,##0_-;\-* #,##0_-;_-* &quot;-&quot;??_-;_-@_-"/>
    <numFmt numFmtId="165" formatCode="0.000"/>
    <numFmt numFmtId="166" formatCode="0.0%"/>
    <numFmt numFmtId="167" formatCode="#,##0.0_);[Red]\(#,##0.0\)"/>
    <numFmt numFmtId="168" formatCode="0.0\x"/>
    <numFmt numFmtId="169" formatCode="#,##0.0_);\(#,##0.0\)"/>
    <numFmt numFmtId="170" formatCode="#,##0.00_);\(#,##0.00\);#,##0.00_);@_)"/>
    <numFmt numFmtId="171" formatCode="&quot;$&quot;#,##0.00_);\(&quot;$&quot;#,##0.00\)"/>
    <numFmt numFmtId="172" formatCode="#,##0_);\(#,##0\)"/>
    <numFmt numFmtId="173" formatCode="_(\ #,##0.00_);_(\ \(#,##0.00\)_);_(\ &quot; - &quot;_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FF"/>
      <name val="Century Gothic"/>
      <family val="1"/>
    </font>
    <font>
      <b/>
      <sz val="9"/>
      <color theme="1"/>
      <name val="Century Gothic"/>
      <family val="1"/>
    </font>
    <font>
      <b/>
      <sz val="9"/>
      <color rgb="FF00B050"/>
      <name val="Century Gothic"/>
      <family val="1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u/>
      <sz val="9"/>
      <name val="Arial"/>
      <family val="2"/>
    </font>
    <font>
      <b/>
      <sz val="9"/>
      <color indexed="12"/>
      <name val="Arial"/>
      <family val="2"/>
    </font>
    <font>
      <i/>
      <sz val="9"/>
      <name val="Arial"/>
      <family val="2"/>
    </font>
    <font>
      <sz val="10"/>
      <name val="Arial"/>
      <family val="2"/>
    </font>
    <font>
      <sz val="9"/>
      <color indexed="56"/>
      <name val="Arial"/>
      <family val="2"/>
    </font>
    <font>
      <sz val="9"/>
      <color indexed="12"/>
      <name val="Arial"/>
      <family val="2"/>
    </font>
    <font>
      <sz val="11"/>
      <color theme="1"/>
      <name val="Century Gothic"/>
      <family val="2"/>
    </font>
    <font>
      <sz val="9"/>
      <color theme="1"/>
      <name val="Century Gothic"/>
      <family val="1"/>
    </font>
    <font>
      <b/>
      <sz val="28"/>
      <color theme="0"/>
      <name val="Century Gothic"/>
      <family val="1"/>
    </font>
    <font>
      <b/>
      <sz val="11"/>
      <color theme="0"/>
      <name val="Century Gothic"/>
      <family val="1"/>
    </font>
    <font>
      <b/>
      <sz val="9"/>
      <color theme="0"/>
      <name val="Century Gothic"/>
      <family val="1"/>
    </font>
    <font>
      <sz val="9"/>
      <color theme="0"/>
      <name val="Century Gothic"/>
      <family val="1"/>
    </font>
    <font>
      <b/>
      <u/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9"/>
      <name val="Century Gothic"/>
      <family val="1"/>
    </font>
    <font>
      <u/>
      <sz val="9"/>
      <color theme="10"/>
      <name val="Century Gothic"/>
      <family val="2"/>
    </font>
    <font>
      <sz val="9"/>
      <color theme="1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2F7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8" fillId="0" borderId="0"/>
    <xf numFmtId="0" fontId="18" fillId="0" borderId="0"/>
    <xf numFmtId="0" fontId="21" fillId="0" borderId="0"/>
  </cellStyleXfs>
  <cellXfs count="265">
    <xf numFmtId="0" fontId="0" fillId="0" borderId="0" xfId="0"/>
    <xf numFmtId="3" fontId="0" fillId="0" borderId="0" xfId="0" applyNumberFormat="1"/>
    <xf numFmtId="164" fontId="7" fillId="0" borderId="0" xfId="0" applyNumberFormat="1" applyFont="1"/>
    <xf numFmtId="10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9" fillId="0" borderId="0" xfId="0" applyFont="1"/>
    <xf numFmtId="0" fontId="8" fillId="0" borderId="0" xfId="0" applyFont="1"/>
    <xf numFmtId="0" fontId="11" fillId="0" borderId="0" xfId="0" applyFont="1"/>
    <xf numFmtId="0" fontId="12" fillId="0" borderId="0" xfId="2"/>
    <xf numFmtId="2" fontId="0" fillId="0" borderId="0" xfId="0" applyNumberFormat="1"/>
    <xf numFmtId="0" fontId="0" fillId="2" borderId="2" xfId="0" applyFill="1" applyBorder="1"/>
    <xf numFmtId="10" fontId="0" fillId="2" borderId="2" xfId="0" applyNumberFormat="1" applyFill="1" applyBorder="1"/>
    <xf numFmtId="2" fontId="0" fillId="2" borderId="2" xfId="0" applyNumberFormat="1" applyFill="1" applyBorder="1"/>
    <xf numFmtId="0" fontId="0" fillId="0" borderId="0" xfId="0" applyFill="1"/>
    <xf numFmtId="0" fontId="0" fillId="0" borderId="0" xfId="0" applyFont="1" applyFill="1"/>
    <xf numFmtId="164" fontId="7" fillId="0" borderId="0" xfId="0" applyNumberFormat="1" applyFont="1" applyFill="1"/>
    <xf numFmtId="0" fontId="0" fillId="0" borderId="0" xfId="0" applyFill="1" applyBorder="1"/>
    <xf numFmtId="0" fontId="0" fillId="0" borderId="0" xfId="0" applyFont="1" applyFill="1" applyBorder="1"/>
    <xf numFmtId="0" fontId="0" fillId="0" borderId="0" xfId="0" applyBorder="1"/>
    <xf numFmtId="0" fontId="13" fillId="0" borderId="0" xfId="3" applyFont="1" applyFill="1" applyBorder="1"/>
    <xf numFmtId="0" fontId="14" fillId="0" borderId="0" xfId="3" applyFont="1" applyFill="1" applyBorder="1"/>
    <xf numFmtId="0" fontId="13" fillId="0" borderId="0" xfId="3" applyFont="1" applyFill="1"/>
    <xf numFmtId="0" fontId="14" fillId="0" borderId="0" xfId="3" applyFont="1" applyFill="1"/>
    <xf numFmtId="0" fontId="14" fillId="0" borderId="0" xfId="4" applyFont="1" applyFill="1"/>
    <xf numFmtId="167" fontId="14" fillId="0" borderId="0" xfId="3" applyNumberFormat="1" applyFont="1" applyFill="1"/>
    <xf numFmtId="0" fontId="13" fillId="0" borderId="3" xfId="3" applyFont="1" applyFill="1" applyBorder="1"/>
    <xf numFmtId="0" fontId="13" fillId="0" borderId="4" xfId="3" applyFont="1" applyFill="1" applyBorder="1"/>
    <xf numFmtId="0" fontId="13" fillId="0" borderId="5" xfId="3" applyFont="1" applyFill="1" applyBorder="1"/>
    <xf numFmtId="0" fontId="14" fillId="0" borderId="4" xfId="3" applyFont="1" applyFill="1" applyBorder="1"/>
    <xf numFmtId="0" fontId="14" fillId="0" borderId="5" xfId="3" applyFont="1" applyFill="1" applyBorder="1"/>
    <xf numFmtId="0" fontId="14" fillId="0" borderId="1" xfId="3" applyFont="1" applyFill="1" applyBorder="1"/>
    <xf numFmtId="0" fontId="14" fillId="0" borderId="0" xfId="3" applyFont="1" applyFill="1" applyAlignment="1">
      <alignment horizontal="left"/>
    </xf>
    <xf numFmtId="167" fontId="14" fillId="0" borderId="6" xfId="3" applyNumberFormat="1" applyFont="1" applyFill="1" applyBorder="1"/>
    <xf numFmtId="0" fontId="14" fillId="0" borderId="1" xfId="3" applyFont="1" applyFill="1" applyBorder="1" applyAlignment="1">
      <alignment horizontal="left"/>
    </xf>
    <xf numFmtId="0" fontId="13" fillId="0" borderId="1" xfId="3" applyFont="1" applyFill="1" applyBorder="1"/>
    <xf numFmtId="37" fontId="14" fillId="0" borderId="6" xfId="3" applyNumberFormat="1" applyFont="1" applyFill="1" applyBorder="1"/>
    <xf numFmtId="168" fontId="20" fillId="0" borderId="7" xfId="4" applyNumberFormat="1" applyFont="1" applyFill="1" applyBorder="1"/>
    <xf numFmtId="39" fontId="14" fillId="0" borderId="6" xfId="3" applyNumberFormat="1" applyFont="1" applyFill="1" applyBorder="1"/>
    <xf numFmtId="38" fontId="14" fillId="0" borderId="6" xfId="3" applyNumberFormat="1" applyFont="1" applyFill="1" applyBorder="1"/>
    <xf numFmtId="0" fontId="14" fillId="0" borderId="8" xfId="3" applyFont="1" applyFill="1" applyBorder="1"/>
    <xf numFmtId="0" fontId="13" fillId="0" borderId="9" xfId="3" applyFont="1" applyFill="1" applyBorder="1" applyAlignment="1">
      <alignment horizontal="left"/>
    </xf>
    <xf numFmtId="0" fontId="14" fillId="0" borderId="9" xfId="3" applyFont="1" applyFill="1" applyBorder="1"/>
    <xf numFmtId="167" fontId="13" fillId="0" borderId="0" xfId="3" applyNumberFormat="1" applyFont="1" applyFill="1"/>
    <xf numFmtId="0" fontId="14" fillId="0" borderId="6" xfId="3" applyFont="1" applyFill="1" applyBorder="1"/>
    <xf numFmtId="0" fontId="14" fillId="0" borderId="11" xfId="3" applyFont="1" applyFill="1" applyBorder="1"/>
    <xf numFmtId="0" fontId="14" fillId="0" borderId="12" xfId="3" applyFont="1" applyFill="1" applyBorder="1" applyAlignment="1">
      <alignment horizontal="left"/>
    </xf>
    <xf numFmtId="0" fontId="14" fillId="0" borderId="12" xfId="3" applyFont="1" applyFill="1" applyBorder="1"/>
    <xf numFmtId="167" fontId="14" fillId="0" borderId="13" xfId="3" applyNumberFormat="1" applyFont="1" applyFill="1" applyBorder="1"/>
    <xf numFmtId="9" fontId="20" fillId="0" borderId="7" xfId="4" applyNumberFormat="1" applyFont="1" applyFill="1" applyBorder="1"/>
    <xf numFmtId="0" fontId="13" fillId="0" borderId="8" xfId="3" applyFont="1" applyFill="1" applyBorder="1"/>
    <xf numFmtId="0" fontId="14" fillId="0" borderId="10" xfId="3" applyFont="1" applyFill="1" applyBorder="1"/>
    <xf numFmtId="167" fontId="14" fillId="0" borderId="6" xfId="4" applyNumberFormat="1" applyFont="1" applyFill="1" applyBorder="1"/>
    <xf numFmtId="0" fontId="18" fillId="0" borderId="0" xfId="3" applyFill="1"/>
    <xf numFmtId="167" fontId="13" fillId="0" borderId="10" xfId="4" applyNumberFormat="1" applyFont="1" applyFill="1" applyBorder="1"/>
    <xf numFmtId="0" fontId="13" fillId="0" borderId="4" xfId="3" applyFont="1" applyFill="1" applyBorder="1" applyAlignment="1">
      <alignment horizontal="right"/>
    </xf>
    <xf numFmtId="0" fontId="13" fillId="0" borderId="5" xfId="3" applyFont="1" applyFill="1" applyBorder="1" applyAlignment="1">
      <alignment horizontal="right"/>
    </xf>
    <xf numFmtId="38" fontId="14" fillId="0" borderId="0" xfId="3" applyNumberFormat="1" applyFont="1" applyFill="1"/>
    <xf numFmtId="167" fontId="13" fillId="0" borderId="6" xfId="3" applyNumberFormat="1" applyFont="1" applyFill="1" applyBorder="1"/>
    <xf numFmtId="37" fontId="14" fillId="0" borderId="0" xfId="3" applyNumberFormat="1" applyFont="1" applyFill="1"/>
    <xf numFmtId="0" fontId="13" fillId="0" borderId="9" xfId="3" applyFont="1" applyFill="1" applyBorder="1"/>
    <xf numFmtId="171" fontId="13" fillId="0" borderId="9" xfId="3" applyNumberFormat="1" applyFont="1" applyFill="1" applyBorder="1"/>
    <xf numFmtId="171" fontId="13" fillId="0" borderId="10" xfId="3" applyNumberFormat="1" applyFont="1" applyFill="1" applyBorder="1"/>
    <xf numFmtId="3" fontId="0" fillId="0" borderId="0" xfId="0" applyNumberFormat="1" applyFill="1" applyBorder="1"/>
    <xf numFmtId="10" fontId="6" fillId="0" borderId="0" xfId="0" applyNumberFormat="1" applyFont="1" applyFill="1"/>
    <xf numFmtId="0" fontId="0" fillId="6" borderId="0" xfId="0" applyFill="1"/>
    <xf numFmtId="164" fontId="0" fillId="0" borderId="0" xfId="1" applyNumberFormat="1" applyFont="1" applyFill="1" applyBorder="1"/>
    <xf numFmtId="164" fontId="0" fillId="7" borderId="0" xfId="1" applyNumberFormat="1" applyFont="1" applyFill="1" applyBorder="1"/>
    <xf numFmtId="172" fontId="14" fillId="0" borderId="6" xfId="3" applyNumberFormat="1" applyFont="1" applyFill="1" applyBorder="1"/>
    <xf numFmtId="10" fontId="20" fillId="2" borderId="14" xfId="4" applyNumberFormat="1" applyFont="1" applyFill="1" applyBorder="1"/>
    <xf numFmtId="164" fontId="0" fillId="0" borderId="0" xfId="0" applyNumberFormat="1" applyFill="1" applyBorder="1"/>
    <xf numFmtId="172" fontId="14" fillId="0" borderId="6" xfId="4" applyNumberFormat="1" applyFont="1" applyFill="1" applyBorder="1"/>
    <xf numFmtId="172" fontId="13" fillId="0" borderId="10" xfId="4" applyNumberFormat="1" applyFont="1" applyFill="1" applyBorder="1"/>
    <xf numFmtId="167" fontId="14" fillId="0" borderId="0" xfId="3" applyNumberFormat="1" applyFont="1" applyFill="1" applyBorder="1"/>
    <xf numFmtId="169" fontId="14" fillId="0" borderId="0" xfId="3" applyNumberFormat="1" applyFont="1" applyFill="1" applyBorder="1"/>
    <xf numFmtId="167" fontId="13" fillId="0" borderId="0" xfId="3" applyNumberFormat="1" applyFont="1" applyFill="1" applyBorder="1"/>
    <xf numFmtId="0" fontId="22" fillId="2" borderId="0" xfId="5" applyFont="1" applyFill="1"/>
    <xf numFmtId="0" fontId="3" fillId="2" borderId="0" xfId="5" applyFont="1" applyFill="1"/>
    <xf numFmtId="0" fontId="23" fillId="8" borderId="11" xfId="5" applyFont="1" applyFill="1" applyBorder="1"/>
    <xf numFmtId="0" fontId="24" fillId="8" borderId="12" xfId="5" applyFont="1" applyFill="1" applyBorder="1"/>
    <xf numFmtId="0" fontId="25" fillId="8" borderId="12" xfId="5" applyFont="1" applyFill="1" applyBorder="1"/>
    <xf numFmtId="0" fontId="26" fillId="8" borderId="12" xfId="5" applyFont="1" applyFill="1" applyBorder="1"/>
    <xf numFmtId="0" fontId="26" fillId="8" borderId="13" xfId="5" applyFont="1" applyFill="1" applyBorder="1"/>
    <xf numFmtId="0" fontId="26" fillId="2" borderId="0" xfId="5" applyFont="1" applyFill="1"/>
    <xf numFmtId="0" fontId="22" fillId="2" borderId="1" xfId="5" applyFont="1" applyFill="1" applyBorder="1"/>
    <xf numFmtId="0" fontId="22" fillId="2" borderId="6" xfId="5" applyFont="1" applyFill="1" applyBorder="1"/>
    <xf numFmtId="0" fontId="22" fillId="8" borderId="6" xfId="5" applyFont="1" applyFill="1" applyBorder="1"/>
    <xf numFmtId="0" fontId="27" fillId="2" borderId="1" xfId="5" applyFont="1" applyFill="1" applyBorder="1"/>
    <xf numFmtId="0" fontId="3" fillId="2" borderId="1" xfId="5" applyFont="1" applyFill="1" applyBorder="1" applyAlignment="1">
      <alignment horizontal="left"/>
    </xf>
    <xf numFmtId="0" fontId="28" fillId="2" borderId="1" xfId="5" applyFont="1" applyFill="1" applyBorder="1"/>
    <xf numFmtId="0" fontId="3" fillId="2" borderId="8" xfId="5" applyFont="1" applyFill="1" applyBorder="1" applyAlignment="1">
      <alignment horizontal="left"/>
    </xf>
    <xf numFmtId="173" fontId="22" fillId="2" borderId="9" xfId="5" quotePrefix="1" applyNumberFormat="1" applyFont="1" applyFill="1" applyBorder="1" applyAlignment="1">
      <alignment horizontal="center" vertical="center"/>
    </xf>
    <xf numFmtId="0" fontId="22" fillId="2" borderId="9" xfId="5" applyFont="1" applyFill="1" applyBorder="1"/>
    <xf numFmtId="0" fontId="4" fillId="2" borderId="9" xfId="5" applyFont="1" applyFill="1" applyBorder="1"/>
    <xf numFmtId="0" fontId="0" fillId="2" borderId="0" xfId="0" applyFill="1"/>
    <xf numFmtId="0" fontId="22" fillId="2" borderId="0" xfId="5" applyFont="1" applyFill="1" applyBorder="1"/>
    <xf numFmtId="0" fontId="27" fillId="2" borderId="0" xfId="5" applyFont="1" applyFill="1" applyBorder="1"/>
    <xf numFmtId="0" fontId="22" fillId="0" borderId="0" xfId="5" applyFont="1" applyBorder="1"/>
    <xf numFmtId="0" fontId="25" fillId="8" borderId="0" xfId="5" applyFont="1" applyFill="1" applyBorder="1"/>
    <xf numFmtId="0" fontId="22" fillId="8" borderId="0" xfId="5" applyFont="1" applyFill="1" applyBorder="1"/>
    <xf numFmtId="14" fontId="22" fillId="2" borderId="0" xfId="5" applyNumberFormat="1" applyFont="1" applyFill="1" applyBorder="1" applyAlignment="1">
      <alignment horizontal="left"/>
    </xf>
    <xf numFmtId="0" fontId="27" fillId="2" borderId="0" xfId="5" applyFont="1" applyFill="1" applyBorder="1" applyAlignment="1">
      <alignment horizontal="left"/>
    </xf>
    <xf numFmtId="0" fontId="2" fillId="2" borderId="0" xfId="5" applyFont="1" applyFill="1" applyBorder="1"/>
    <xf numFmtId="173" fontId="22" fillId="2" borderId="0" xfId="5" quotePrefix="1" applyNumberFormat="1" applyFont="1" applyFill="1" applyBorder="1" applyAlignment="1">
      <alignment horizontal="center" vertical="center"/>
    </xf>
    <xf numFmtId="0" fontId="2" fillId="3" borderId="0" xfId="5" applyFont="1" applyFill="1" applyBorder="1"/>
    <xf numFmtId="0" fontId="3" fillId="2" borderId="0" xfId="5" applyFont="1" applyFill="1" applyBorder="1"/>
    <xf numFmtId="0" fontId="22" fillId="2" borderId="0" xfId="5" applyFont="1" applyFill="1" applyBorder="1" applyAlignment="1">
      <alignment vertical="center"/>
    </xf>
    <xf numFmtId="0" fontId="22" fillId="2" borderId="6" xfId="5" applyFont="1" applyFill="1" applyBorder="1" applyAlignment="1">
      <alignment vertical="center"/>
    </xf>
    <xf numFmtId="0" fontId="0" fillId="0" borderId="1" xfId="0" applyBorder="1"/>
    <xf numFmtId="0" fontId="0" fillId="0" borderId="15" xfId="0" applyBorder="1"/>
    <xf numFmtId="0" fontId="9" fillId="0" borderId="16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6" xfId="0" applyBorder="1"/>
    <xf numFmtId="3" fontId="6" fillId="0" borderId="0" xfId="0" applyNumberFormat="1" applyFont="1" applyBorder="1"/>
    <xf numFmtId="164" fontId="0" fillId="0" borderId="0" xfId="1" applyNumberFormat="1" applyFont="1" applyBorder="1"/>
    <xf numFmtId="164" fontId="0" fillId="0" borderId="6" xfId="1" applyNumberFormat="1" applyFont="1" applyBorder="1"/>
    <xf numFmtId="164" fontId="8" fillId="0" borderId="0" xfId="1" applyNumberFormat="1" applyFont="1" applyBorder="1"/>
    <xf numFmtId="164" fontId="8" fillId="0" borderId="6" xfId="1" applyNumberFormat="1" applyFont="1" applyBorder="1"/>
    <xf numFmtId="3" fontId="0" fillId="0" borderId="0" xfId="0" applyNumberFormat="1" applyBorder="1"/>
    <xf numFmtId="3" fontId="8" fillId="0" borderId="0" xfId="0" applyNumberFormat="1" applyFont="1" applyBorder="1"/>
    <xf numFmtId="3" fontId="8" fillId="0" borderId="6" xfId="0" applyNumberFormat="1" applyFont="1" applyBorder="1"/>
    <xf numFmtId="0" fontId="6" fillId="0" borderId="0" xfId="0" applyFont="1" applyBorder="1"/>
    <xf numFmtId="0" fontId="6" fillId="0" borderId="6" xfId="0" applyFont="1" applyBorder="1"/>
    <xf numFmtId="164" fontId="0" fillId="0" borderId="0" xfId="0" applyNumberFormat="1" applyBorder="1"/>
    <xf numFmtId="164" fontId="0" fillId="0" borderId="6" xfId="0" applyNumberFormat="1" applyBorder="1"/>
    <xf numFmtId="3" fontId="6" fillId="0" borderId="6" xfId="0" applyNumberFormat="1" applyFont="1" applyBorder="1"/>
    <xf numFmtId="3" fontId="0" fillId="0" borderId="6" xfId="0" applyNumberFormat="1" applyBorder="1"/>
    <xf numFmtId="10" fontId="0" fillId="0" borderId="0" xfId="0" applyNumberFormat="1" applyBorder="1"/>
    <xf numFmtId="3" fontId="6" fillId="5" borderId="0" xfId="0" applyNumberFormat="1" applyFont="1" applyFill="1" applyBorder="1"/>
    <xf numFmtId="3" fontId="6" fillId="5" borderId="6" xfId="0" applyNumberFormat="1" applyFont="1" applyFill="1" applyBorder="1"/>
    <xf numFmtId="0" fontId="0" fillId="5" borderId="0" xfId="0" applyFill="1" applyBorder="1"/>
    <xf numFmtId="0" fontId="0" fillId="5" borderId="6" xfId="0" applyFill="1" applyBorder="1"/>
    <xf numFmtId="0" fontId="0" fillId="0" borderId="1" xfId="0" applyFill="1" applyBorder="1"/>
    <xf numFmtId="3" fontId="6" fillId="0" borderId="0" xfId="0" applyNumberFormat="1" applyFont="1" applyFill="1" applyBorder="1"/>
    <xf numFmtId="0" fontId="6" fillId="0" borderId="0" xfId="0" applyFont="1" applyFill="1" applyBorder="1"/>
    <xf numFmtId="0" fontId="0" fillId="0" borderId="6" xfId="0" applyFill="1" applyBorder="1"/>
    <xf numFmtId="3" fontId="8" fillId="0" borderId="0" xfId="0" applyNumberFormat="1" applyFont="1" applyFill="1" applyBorder="1"/>
    <xf numFmtId="3" fontId="8" fillId="0" borderId="6" xfId="0" applyNumberFormat="1" applyFont="1" applyFill="1" applyBorder="1"/>
    <xf numFmtId="0" fontId="0" fillId="0" borderId="8" xfId="0" applyFill="1" applyBorder="1"/>
    <xf numFmtId="0" fontId="0" fillId="0" borderId="9" xfId="0" applyFill="1" applyBorder="1"/>
    <xf numFmtId="164" fontId="8" fillId="0" borderId="9" xfId="1" applyNumberFormat="1" applyFont="1" applyFill="1" applyBorder="1"/>
    <xf numFmtId="164" fontId="8" fillId="0" borderId="9" xfId="0" applyNumberFormat="1" applyFont="1" applyFill="1" applyBorder="1"/>
    <xf numFmtId="164" fontId="8" fillId="0" borderId="10" xfId="0" applyNumberFormat="1" applyFont="1" applyFill="1" applyBorder="1"/>
    <xf numFmtId="0" fontId="0" fillId="0" borderId="13" xfId="0" applyBorder="1"/>
    <xf numFmtId="0" fontId="0" fillId="0" borderId="8" xfId="0" applyBorder="1"/>
    <xf numFmtId="0" fontId="0" fillId="0" borderId="9" xfId="0" applyBorder="1"/>
    <xf numFmtId="10" fontId="0" fillId="0" borderId="9" xfId="0" applyNumberFormat="1" applyBorder="1"/>
    <xf numFmtId="0" fontId="0" fillId="0" borderId="2" xfId="0" applyBorder="1"/>
    <xf numFmtId="3" fontId="6" fillId="0" borderId="2" xfId="0" applyNumberFormat="1" applyFont="1" applyBorder="1"/>
    <xf numFmtId="10" fontId="6" fillId="0" borderId="2" xfId="0" applyNumberFormat="1" applyFont="1" applyBorder="1"/>
    <xf numFmtId="9" fontId="6" fillId="3" borderId="2" xfId="0" applyNumberFormat="1" applyFont="1" applyFill="1" applyBorder="1"/>
    <xf numFmtId="10" fontId="6" fillId="3" borderId="2" xfId="0" applyNumberFormat="1" applyFont="1" applyFill="1" applyBorder="1"/>
    <xf numFmtId="10" fontId="0" fillId="0" borderId="2" xfId="0" applyNumberFormat="1" applyBorder="1"/>
    <xf numFmtId="10" fontId="6" fillId="4" borderId="2" xfId="0" applyNumberFormat="1" applyFont="1" applyFill="1" applyBorder="1"/>
    <xf numFmtId="0" fontId="9" fillId="0" borderId="0" xfId="0" applyFont="1" applyBorder="1" applyAlignment="1">
      <alignment horizontal="right"/>
    </xf>
    <xf numFmtId="0" fontId="9" fillId="0" borderId="6" xfId="0" applyFont="1" applyBorder="1" applyAlignment="1">
      <alignment horizontal="right"/>
    </xf>
    <xf numFmtId="3" fontId="5" fillId="0" borderId="0" xfId="0" applyNumberFormat="1" applyFont="1" applyBorder="1"/>
    <xf numFmtId="3" fontId="5" fillId="0" borderId="6" xfId="0" applyNumberFormat="1" applyFont="1" applyBorder="1"/>
    <xf numFmtId="0" fontId="8" fillId="0" borderId="0" xfId="0" applyFont="1" applyBorder="1"/>
    <xf numFmtId="0" fontId="8" fillId="0" borderId="6" xfId="0" applyFont="1" applyBorder="1"/>
    <xf numFmtId="3" fontId="7" fillId="0" borderId="0" xfId="0" applyNumberFormat="1" applyFont="1" applyBorder="1"/>
    <xf numFmtId="0" fontId="7" fillId="0" borderId="0" xfId="0" applyFont="1" applyBorder="1"/>
    <xf numFmtId="0" fontId="5" fillId="0" borderId="0" xfId="0" applyFont="1" applyBorder="1"/>
    <xf numFmtId="0" fontId="0" fillId="0" borderId="1" xfId="0" applyBorder="1" applyAlignment="1"/>
    <xf numFmtId="164" fontId="5" fillId="0" borderId="0" xfId="1" applyNumberFormat="1" applyFont="1" applyBorder="1"/>
    <xf numFmtId="164" fontId="5" fillId="0" borderId="6" xfId="1" applyNumberFormat="1" applyFont="1" applyBorder="1"/>
    <xf numFmtId="0" fontId="5" fillId="0" borderId="6" xfId="0" applyFont="1" applyBorder="1"/>
    <xf numFmtId="1" fontId="5" fillId="0" borderId="0" xfId="0" applyNumberFormat="1" applyFont="1" applyBorder="1"/>
    <xf numFmtId="1" fontId="5" fillId="0" borderId="6" xfId="0" applyNumberFormat="1" applyFont="1" applyBorder="1"/>
    <xf numFmtId="10" fontId="7" fillId="0" borderId="0" xfId="0" applyNumberFormat="1" applyFont="1" applyFill="1" applyBorder="1"/>
    <xf numFmtId="10" fontId="7" fillId="0" borderId="0" xfId="0" applyNumberFormat="1" applyFont="1" applyBorder="1"/>
    <xf numFmtId="10" fontId="7" fillId="3" borderId="0" xfId="0" applyNumberFormat="1" applyFont="1" applyFill="1" applyBorder="1"/>
    <xf numFmtId="10" fontId="7" fillId="3" borderId="6" xfId="0" applyNumberFormat="1" applyFont="1" applyFill="1" applyBorder="1"/>
    <xf numFmtId="164" fontId="7" fillId="0" borderId="0" xfId="1" applyNumberFormat="1" applyFont="1" applyFill="1" applyBorder="1"/>
    <xf numFmtId="164" fontId="7" fillId="0" borderId="0" xfId="1" applyNumberFormat="1" applyFont="1" applyBorder="1"/>
    <xf numFmtId="0" fontId="0" fillId="0" borderId="1" xfId="0" applyFont="1" applyFill="1" applyBorder="1"/>
    <xf numFmtId="164" fontId="7" fillId="0" borderId="0" xfId="0" applyNumberFormat="1" applyFont="1" applyFill="1" applyBorder="1"/>
    <xf numFmtId="164" fontId="7" fillId="0" borderId="0" xfId="0" applyNumberFormat="1" applyFont="1" applyBorder="1"/>
    <xf numFmtId="164" fontId="8" fillId="0" borderId="0" xfId="0" applyNumberFormat="1" applyFont="1" applyBorder="1"/>
    <xf numFmtId="164" fontId="8" fillId="0" borderId="6" xfId="0" applyNumberFormat="1" applyFont="1" applyBorder="1"/>
    <xf numFmtId="3" fontId="7" fillId="0" borderId="0" xfId="0" applyNumberFormat="1" applyFont="1" applyFill="1" applyBorder="1"/>
    <xf numFmtId="0" fontId="7" fillId="0" borderId="0" xfId="0" applyFont="1" applyFill="1" applyBorder="1"/>
    <xf numFmtId="0" fontId="0" fillId="0" borderId="8" xfId="0" applyFont="1" applyFill="1" applyBorder="1"/>
    <xf numFmtId="164" fontId="7" fillId="0" borderId="9" xfId="0" applyNumberFormat="1" applyFont="1" applyFill="1" applyBorder="1"/>
    <xf numFmtId="164" fontId="7" fillId="6" borderId="9" xfId="0" applyNumberFormat="1" applyFont="1" applyFill="1" applyBorder="1"/>
    <xf numFmtId="164" fontId="0" fillId="0" borderId="9" xfId="0" applyNumberFormat="1" applyBorder="1"/>
    <xf numFmtId="164" fontId="0" fillId="0" borderId="10" xfId="0" applyNumberFormat="1" applyBorder="1"/>
    <xf numFmtId="0" fontId="11" fillId="0" borderId="11" xfId="0" applyFont="1" applyFill="1" applyBorder="1"/>
    <xf numFmtId="0" fontId="0" fillId="0" borderId="12" xfId="0" applyFill="1" applyBorder="1"/>
    <xf numFmtId="164" fontId="7" fillId="0" borderId="12" xfId="0" applyNumberFormat="1" applyFont="1" applyFill="1" applyBorder="1"/>
    <xf numFmtId="164" fontId="7" fillId="0" borderId="12" xfId="0" applyNumberFormat="1" applyFont="1" applyBorder="1"/>
    <xf numFmtId="0" fontId="8" fillId="0" borderId="8" xfId="0" applyFont="1" applyFill="1" applyBorder="1"/>
    <xf numFmtId="43" fontId="8" fillId="0" borderId="9" xfId="0" applyNumberFormat="1" applyFont="1" applyFill="1" applyBorder="1"/>
    <xf numFmtId="3" fontId="0" fillId="0" borderId="6" xfId="0" applyNumberFormat="1" applyFill="1" applyBorder="1"/>
    <xf numFmtId="43" fontId="0" fillId="0" borderId="0" xfId="1" applyFont="1" applyBorder="1"/>
    <xf numFmtId="43" fontId="0" fillId="0" borderId="6" xfId="1" applyFont="1" applyBorder="1"/>
    <xf numFmtId="164" fontId="7" fillId="0" borderId="9" xfId="1" applyNumberFormat="1" applyFont="1" applyBorder="1"/>
    <xf numFmtId="164" fontId="8" fillId="0" borderId="9" xfId="1" applyNumberFormat="1" applyFont="1" applyBorder="1"/>
    <xf numFmtId="164" fontId="8" fillId="0" borderId="10" xfId="1" applyNumberFormat="1" applyFont="1" applyBorder="1"/>
    <xf numFmtId="2" fontId="0" fillId="0" borderId="2" xfId="0" applyNumberFormat="1" applyBorder="1"/>
    <xf numFmtId="0" fontId="9" fillId="0" borderId="2" xfId="0" applyFont="1" applyBorder="1"/>
    <xf numFmtId="3" fontId="0" fillId="0" borderId="2" xfId="0" applyNumberFormat="1" applyBorder="1"/>
    <xf numFmtId="165" fontId="0" fillId="0" borderId="2" xfId="0" applyNumberFormat="1" applyBorder="1"/>
    <xf numFmtId="0" fontId="9" fillId="0" borderId="0" xfId="0" applyFont="1" applyFill="1" applyBorder="1"/>
    <xf numFmtId="10" fontId="0" fillId="0" borderId="6" xfId="0" applyNumberFormat="1" applyBorder="1"/>
    <xf numFmtId="9" fontId="7" fillId="3" borderId="9" xfId="0" applyNumberFormat="1" applyFont="1" applyFill="1" applyBorder="1"/>
    <xf numFmtId="9" fontId="7" fillId="3" borderId="10" xfId="0" applyNumberFormat="1" applyFont="1" applyFill="1" applyBorder="1"/>
    <xf numFmtId="0" fontId="9" fillId="0" borderId="11" xfId="0" applyFont="1" applyBorder="1"/>
    <xf numFmtId="3" fontId="0" fillId="0" borderId="9" xfId="0" applyNumberFormat="1" applyBorder="1"/>
    <xf numFmtId="3" fontId="0" fillId="0" borderId="10" xfId="0" applyNumberFormat="1" applyBorder="1"/>
    <xf numFmtId="0" fontId="9" fillId="0" borderId="1" xfId="0" applyFont="1" applyBorder="1"/>
    <xf numFmtId="0" fontId="10" fillId="0" borderId="0" xfId="0" applyFont="1" applyBorder="1" applyAlignment="1">
      <alignment horizontal="left"/>
    </xf>
    <xf numFmtId="2" fontId="0" fillId="0" borderId="0" xfId="0" applyNumberFormat="1" applyBorder="1"/>
    <xf numFmtId="2" fontId="7" fillId="3" borderId="0" xfId="0" applyNumberFormat="1" applyFont="1" applyFill="1" applyBorder="1"/>
    <xf numFmtId="2" fontId="7" fillId="3" borderId="6" xfId="0" applyNumberFormat="1" applyFont="1" applyFill="1" applyBorder="1"/>
    <xf numFmtId="0" fontId="7" fillId="3" borderId="0" xfId="0" applyFont="1" applyFill="1" applyBorder="1"/>
    <xf numFmtId="0" fontId="11" fillId="0" borderId="1" xfId="0" applyFont="1" applyBorder="1"/>
    <xf numFmtId="0" fontId="8" fillId="0" borderId="8" xfId="0" applyFont="1" applyBorder="1"/>
    <xf numFmtId="0" fontId="0" fillId="0" borderId="16" xfId="0" applyBorder="1"/>
    <xf numFmtId="0" fontId="13" fillId="0" borderId="1" xfId="0" applyFont="1" applyFill="1" applyBorder="1"/>
    <xf numFmtId="0" fontId="14" fillId="0" borderId="0" xfId="0" applyFont="1" applyFill="1" applyBorder="1"/>
    <xf numFmtId="164" fontId="0" fillId="0" borderId="6" xfId="1" applyNumberFormat="1" applyFont="1" applyFill="1" applyBorder="1"/>
    <xf numFmtId="0" fontId="13" fillId="0" borderId="0" xfId="0" applyFont="1" applyFill="1" applyBorder="1"/>
    <xf numFmtId="0" fontId="14" fillId="0" borderId="1" xfId="0" applyFont="1" applyFill="1" applyBorder="1"/>
    <xf numFmtId="0" fontId="14" fillId="0" borderId="0" xfId="0" quotePrefix="1" applyFont="1" applyFill="1" applyBorder="1"/>
    <xf numFmtId="9" fontId="16" fillId="0" borderId="0" xfId="0" applyNumberFormat="1" applyFont="1" applyFill="1" applyBorder="1" applyAlignment="1">
      <alignment horizontal="right"/>
    </xf>
    <xf numFmtId="9" fontId="17" fillId="0" borderId="0" xfId="0" applyNumberFormat="1" applyFont="1" applyFill="1" applyBorder="1" applyAlignment="1">
      <alignment horizontal="left"/>
    </xf>
    <xf numFmtId="166" fontId="0" fillId="0" borderId="0" xfId="0" applyNumberFormat="1" applyFill="1" applyBorder="1"/>
    <xf numFmtId="166" fontId="0" fillId="0" borderId="6" xfId="0" applyNumberFormat="1" applyFill="1" applyBorder="1"/>
    <xf numFmtId="9" fontId="16" fillId="0" borderId="0" xfId="0" applyNumberFormat="1" applyFont="1" applyFill="1" applyBorder="1"/>
    <xf numFmtId="2" fontId="0" fillId="0" borderId="6" xfId="0" applyNumberFormat="1" applyBorder="1"/>
    <xf numFmtId="9" fontId="17" fillId="0" borderId="9" xfId="0" applyNumberFormat="1" applyFont="1" applyFill="1" applyBorder="1"/>
    <xf numFmtId="9" fontId="5" fillId="3" borderId="9" xfId="0" applyNumberFormat="1" applyFont="1" applyFill="1" applyBorder="1"/>
    <xf numFmtId="9" fontId="5" fillId="3" borderId="10" xfId="0" applyNumberFormat="1" applyFont="1" applyFill="1" applyBorder="1"/>
    <xf numFmtId="164" fontId="0" fillId="7" borderId="6" xfId="1" applyNumberFormat="1" applyFont="1" applyFill="1" applyBorder="1"/>
    <xf numFmtId="164" fontId="0" fillId="0" borderId="6" xfId="0" applyNumberFormat="1" applyFill="1" applyBorder="1"/>
    <xf numFmtId="164" fontId="0" fillId="0" borderId="9" xfId="0" applyNumberFormat="1" applyFill="1" applyBorder="1"/>
    <xf numFmtId="0" fontId="0" fillId="0" borderId="10" xfId="0" applyFill="1" applyBorder="1"/>
    <xf numFmtId="0" fontId="30" fillId="9" borderId="0" xfId="2" applyFont="1" applyFill="1" applyBorder="1"/>
    <xf numFmtId="0" fontId="31" fillId="9" borderId="0" xfId="5" applyFont="1" applyFill="1" applyBorder="1"/>
    <xf numFmtId="0" fontId="31" fillId="9" borderId="6" xfId="5" applyFont="1" applyFill="1" applyBorder="1"/>
    <xf numFmtId="0" fontId="30" fillId="2" borderId="0" xfId="2" applyFont="1" applyFill="1" applyBorder="1"/>
    <xf numFmtId="0" fontId="31" fillId="2" borderId="0" xfId="5" applyFont="1" applyFill="1" applyBorder="1"/>
    <xf numFmtId="0" fontId="31" fillId="2" borderId="6" xfId="5" applyFont="1" applyFill="1" applyBorder="1"/>
    <xf numFmtId="0" fontId="31" fillId="9" borderId="0" xfId="5" applyFont="1" applyFill="1"/>
    <xf numFmtId="0" fontId="31" fillId="2" borderId="0" xfId="5" applyFont="1" applyFill="1"/>
    <xf numFmtId="0" fontId="31" fillId="2" borderId="9" xfId="5" applyFont="1" applyFill="1" applyBorder="1"/>
    <xf numFmtId="0" fontId="31" fillId="2" borderId="10" xfId="5" applyFont="1" applyFill="1" applyBorder="1"/>
    <xf numFmtId="0" fontId="30" fillId="0" borderId="0" xfId="2" applyFont="1" applyFill="1" applyBorder="1"/>
    <xf numFmtId="0" fontId="30" fillId="9" borderId="9" xfId="2" applyFont="1" applyFill="1" applyBorder="1"/>
    <xf numFmtId="0" fontId="30" fillId="0" borderId="9" xfId="2" applyFont="1" applyFill="1" applyBorder="1"/>
    <xf numFmtId="0" fontId="9" fillId="0" borderId="2" xfId="0" applyFont="1" applyBorder="1" applyAlignment="1">
      <alignment horizontal="right"/>
    </xf>
    <xf numFmtId="0" fontId="9" fillId="2" borderId="2" xfId="0" applyFont="1" applyFill="1" applyBorder="1"/>
    <xf numFmtId="3" fontId="0" fillId="2" borderId="2" xfId="0" applyNumberFormat="1" applyFill="1" applyBorder="1"/>
    <xf numFmtId="0" fontId="14" fillId="0" borderId="0" xfId="3" applyFont="1" applyFill="1" applyBorder="1" applyAlignment="1">
      <alignment horizontal="left"/>
    </xf>
    <xf numFmtId="10" fontId="19" fillId="0" borderId="6" xfId="3" applyNumberFormat="1" applyFont="1" applyFill="1" applyBorder="1"/>
    <xf numFmtId="170" fontId="19" fillId="0" borderId="6" xfId="3" applyNumberFormat="1" applyFont="1" applyFill="1" applyBorder="1"/>
    <xf numFmtId="10" fontId="14" fillId="0" borderId="6" xfId="3" applyNumberFormat="1" applyFont="1" applyFill="1" applyBorder="1"/>
    <xf numFmtId="10" fontId="13" fillId="0" borderId="10" xfId="3" applyNumberFormat="1" applyFont="1" applyFill="1" applyBorder="1"/>
    <xf numFmtId="0" fontId="22" fillId="2" borderId="0" xfId="5" applyFont="1" applyFill="1" applyBorder="1" applyAlignment="1">
      <alignment horizontal="center" vertical="center" wrapText="1"/>
    </xf>
    <xf numFmtId="0" fontId="25" fillId="8" borderId="12" xfId="0" applyFont="1" applyFill="1" applyBorder="1" applyAlignment="1">
      <alignment horizontal="center"/>
    </xf>
    <xf numFmtId="0" fontId="29" fillId="10" borderId="12" xfId="0" applyFont="1" applyFill="1" applyBorder="1" applyAlignment="1">
      <alignment horizontal="center"/>
    </xf>
    <xf numFmtId="0" fontId="29" fillId="10" borderId="13" xfId="0" applyFont="1" applyFill="1" applyBorder="1" applyAlignment="1">
      <alignment horizontal="center"/>
    </xf>
  </cellXfs>
  <cellStyles count="6">
    <cellStyle name="Comma" xfId="1" builtinId="3"/>
    <cellStyle name="Hyperlink" xfId="2" builtinId="8"/>
    <cellStyle name="Normal" xfId="0" builtinId="0"/>
    <cellStyle name="Normal 2" xfId="3" xr:uid="{9E273C4E-812B-434E-9C64-E2CA64E19584}"/>
    <cellStyle name="Normal 2 2" xfId="5" xr:uid="{39EB670B-29D7-40B0-966E-3E9CD2732EB4}"/>
    <cellStyle name="Normal_DCF analysis" xfId="4" xr:uid="{88753DB5-2117-467C-81B2-8FCE3E5319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2</xdr:row>
      <xdr:rowOff>114498</xdr:rowOff>
    </xdr:from>
    <xdr:to>
      <xdr:col>4</xdr:col>
      <xdr:colOff>335280</xdr:colOff>
      <xdr:row>12</xdr:row>
      <xdr:rowOff>53339</xdr:rowOff>
    </xdr:to>
    <xdr:pic>
      <xdr:nvPicPr>
        <xdr:cNvPr id="3" name="Picture 2" descr="Related image">
          <a:extLst>
            <a:ext uri="{FF2B5EF4-FFF2-40B4-BE49-F238E27FC236}">
              <a16:creationId xmlns:a16="http://schemas.microsoft.com/office/drawing/2014/main" id="{5B2A4014-772D-47D2-8DC2-DA1030862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731718"/>
          <a:ext cx="3611880" cy="17676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ndor-holdings.com/equities/wp-content/uploads/sites/2/2016/02/types_of_financial_ratios_19mar_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9BC66-E5DC-4FD8-AD59-41D3F3B70EAB}">
  <dimension ref="A2:AC31"/>
  <sheetViews>
    <sheetView tabSelected="1" zoomScaleNormal="100" workbookViewId="0">
      <selection activeCell="B24" sqref="B24"/>
    </sheetView>
  </sheetViews>
  <sheetFormatPr defaultRowHeight="14.4" x14ac:dyDescent="0.3"/>
  <cols>
    <col min="1" max="1" width="5.88671875" style="76" bestFit="1" customWidth="1"/>
    <col min="2" max="2" width="26.44140625" style="76" customWidth="1"/>
    <col min="3" max="3" width="13.6640625" style="76" customWidth="1"/>
    <col min="4" max="4" width="9" style="76"/>
    <col min="5" max="5" width="37.6640625" style="76" customWidth="1"/>
    <col min="6" max="6" width="9" style="76"/>
    <col min="7" max="7" width="23.88671875" style="76" bestFit="1" customWidth="1"/>
    <col min="8" max="8" width="9" style="76"/>
    <col min="9" max="9" width="21.109375" style="76" customWidth="1"/>
    <col min="10" max="11" width="9" style="76"/>
    <col min="12" max="12" width="15.88671875" style="76" customWidth="1"/>
    <col min="13" max="13" width="8.88671875" style="76"/>
    <col min="14" max="29" width="8.88671875" style="94"/>
  </cols>
  <sheetData>
    <row r="2" spans="1:13" ht="34.200000000000003" x14ac:dyDescent="0.5">
      <c r="A2" s="77"/>
      <c r="B2" s="78" t="s">
        <v>297</v>
      </c>
      <c r="C2" s="79"/>
      <c r="D2" s="79"/>
      <c r="E2" s="80"/>
      <c r="F2" s="81"/>
      <c r="G2" s="81"/>
      <c r="H2" s="81"/>
      <c r="I2" s="81"/>
      <c r="J2" s="81"/>
      <c r="K2" s="81"/>
      <c r="L2" s="82"/>
      <c r="M2" s="83"/>
    </row>
    <row r="3" spans="1:13" x14ac:dyDescent="0.3">
      <c r="B3" s="84"/>
      <c r="C3" s="95"/>
      <c r="D3" s="95"/>
      <c r="E3" s="95"/>
      <c r="F3" s="95"/>
      <c r="G3" s="95"/>
      <c r="H3" s="95"/>
      <c r="I3" s="95"/>
      <c r="J3" s="95"/>
      <c r="K3" s="95"/>
      <c r="L3" s="85"/>
    </row>
    <row r="4" spans="1:13" ht="14.4" customHeight="1" x14ac:dyDescent="0.3">
      <c r="B4" s="84"/>
      <c r="C4" s="95"/>
      <c r="D4" s="95"/>
      <c r="E4" s="95"/>
      <c r="F4" s="95"/>
      <c r="G4" s="95"/>
      <c r="H4" s="106"/>
      <c r="I4" s="106"/>
      <c r="J4" s="106"/>
      <c r="K4" s="106"/>
      <c r="L4" s="107"/>
    </row>
    <row r="5" spans="1:13" x14ac:dyDescent="0.3">
      <c r="B5" s="84"/>
      <c r="C5" s="95"/>
      <c r="D5" s="95"/>
      <c r="E5" s="95"/>
      <c r="F5" s="95"/>
      <c r="G5" s="96" t="s">
        <v>270</v>
      </c>
      <c r="H5" s="106"/>
      <c r="I5" s="106"/>
      <c r="J5" s="106"/>
      <c r="K5" s="106"/>
      <c r="L5" s="107"/>
    </row>
    <row r="6" spans="1:13" ht="14.4" customHeight="1" x14ac:dyDescent="0.3">
      <c r="B6" s="84"/>
      <c r="C6" s="95"/>
      <c r="D6" s="95"/>
      <c r="E6" s="95"/>
      <c r="F6" s="95"/>
      <c r="G6" s="261" t="s">
        <v>298</v>
      </c>
      <c r="H6" s="261"/>
      <c r="I6" s="261"/>
      <c r="J6" s="261"/>
      <c r="K6" s="261"/>
      <c r="L6" s="107"/>
    </row>
    <row r="7" spans="1:13" x14ac:dyDescent="0.3">
      <c r="B7" s="108"/>
      <c r="C7" s="95"/>
      <c r="D7" s="95"/>
      <c r="E7" s="95"/>
      <c r="F7" s="95"/>
      <c r="G7" s="261"/>
      <c r="H7" s="261"/>
      <c r="I7" s="261"/>
      <c r="J7" s="261"/>
      <c r="K7" s="261"/>
      <c r="L7" s="107"/>
    </row>
    <row r="8" spans="1:13" x14ac:dyDescent="0.3">
      <c r="B8" s="84"/>
      <c r="C8" s="95"/>
      <c r="D8" s="95"/>
      <c r="E8" s="95"/>
      <c r="F8" s="95"/>
      <c r="G8" s="261"/>
      <c r="H8" s="261"/>
      <c r="I8" s="261"/>
      <c r="J8" s="261"/>
      <c r="K8" s="261"/>
      <c r="L8" s="107"/>
    </row>
    <row r="9" spans="1:13" x14ac:dyDescent="0.3">
      <c r="B9" s="84"/>
      <c r="C9" s="95"/>
      <c r="D9" s="95"/>
      <c r="E9" s="95"/>
      <c r="F9" s="95"/>
      <c r="G9" s="261"/>
      <c r="H9" s="261"/>
      <c r="I9" s="261"/>
      <c r="J9" s="261"/>
      <c r="K9" s="261"/>
      <c r="L9" s="107"/>
    </row>
    <row r="10" spans="1:13" x14ac:dyDescent="0.3">
      <c r="B10" s="84"/>
      <c r="C10" s="95"/>
      <c r="D10" s="95"/>
      <c r="E10" s="95"/>
      <c r="F10" s="95"/>
      <c r="G10" s="95"/>
      <c r="H10" s="95"/>
      <c r="I10" s="95"/>
      <c r="J10" s="95"/>
      <c r="K10" s="95"/>
      <c r="L10" s="85"/>
    </row>
    <row r="11" spans="1:13" x14ac:dyDescent="0.3">
      <c r="B11" s="84"/>
      <c r="C11" s="95"/>
      <c r="D11" s="95"/>
      <c r="E11" s="95"/>
      <c r="F11" s="95"/>
      <c r="G11" s="95"/>
      <c r="H11" s="95"/>
      <c r="I11" s="95"/>
      <c r="J11" s="95"/>
      <c r="K11" s="95"/>
      <c r="L11" s="85"/>
    </row>
    <row r="12" spans="1:13" x14ac:dyDescent="0.3">
      <c r="B12" s="84"/>
      <c r="C12" s="95"/>
      <c r="D12" s="95"/>
      <c r="E12" s="95"/>
      <c r="F12" s="95"/>
      <c r="G12" s="95"/>
      <c r="H12" s="95"/>
      <c r="I12" s="95"/>
      <c r="J12" s="95"/>
      <c r="K12" s="95"/>
      <c r="L12" s="85"/>
    </row>
    <row r="13" spans="1:13" x14ac:dyDescent="0.3">
      <c r="B13" s="84"/>
      <c r="C13" s="95"/>
      <c r="D13" s="95"/>
      <c r="E13" s="95"/>
      <c r="F13" s="95"/>
      <c r="G13" s="98" t="s">
        <v>271</v>
      </c>
      <c r="H13" s="99"/>
      <c r="I13" s="99"/>
      <c r="J13" s="99"/>
      <c r="K13" s="99"/>
      <c r="L13" s="86"/>
    </row>
    <row r="14" spans="1:13" x14ac:dyDescent="0.3">
      <c r="B14" s="87" t="s">
        <v>278</v>
      </c>
      <c r="C14" s="95"/>
      <c r="D14" s="95"/>
      <c r="E14" s="95"/>
      <c r="F14" s="95"/>
      <c r="G14" s="240" t="s">
        <v>272</v>
      </c>
      <c r="H14" s="241" t="s">
        <v>273</v>
      </c>
      <c r="I14" s="241"/>
      <c r="J14" s="241"/>
      <c r="K14" s="241"/>
      <c r="L14" s="242"/>
    </row>
    <row r="15" spans="1:13" x14ac:dyDescent="0.3">
      <c r="B15" s="88" t="s">
        <v>279</v>
      </c>
      <c r="C15" s="95" t="s">
        <v>299</v>
      </c>
      <c r="D15" s="95"/>
      <c r="E15" s="95"/>
      <c r="F15" s="95"/>
      <c r="G15" s="243" t="s">
        <v>274</v>
      </c>
      <c r="H15" s="244" t="s">
        <v>275</v>
      </c>
      <c r="I15" s="244"/>
      <c r="J15" s="244"/>
      <c r="K15" s="244"/>
      <c r="L15" s="245"/>
    </row>
    <row r="16" spans="1:13" x14ac:dyDescent="0.3">
      <c r="B16" s="88" t="s">
        <v>280</v>
      </c>
      <c r="C16" s="97" t="s">
        <v>300</v>
      </c>
      <c r="D16" s="95"/>
      <c r="E16" s="95"/>
      <c r="F16" s="95"/>
      <c r="G16" s="240" t="s">
        <v>276</v>
      </c>
      <c r="H16" s="241" t="s">
        <v>277</v>
      </c>
      <c r="I16" s="241"/>
      <c r="J16" s="241"/>
      <c r="K16" s="241"/>
      <c r="L16" s="242"/>
    </row>
    <row r="17" spans="1:12" x14ac:dyDescent="0.3">
      <c r="B17" s="88" t="s">
        <v>281</v>
      </c>
      <c r="C17" s="100">
        <v>43465</v>
      </c>
      <c r="D17" s="95"/>
      <c r="E17" s="101" t="s">
        <v>282</v>
      </c>
      <c r="F17" s="95"/>
      <c r="G17" s="250" t="s">
        <v>292</v>
      </c>
      <c r="H17" s="244" t="s">
        <v>315</v>
      </c>
      <c r="I17" s="244"/>
      <c r="J17" s="244"/>
      <c r="K17" s="244"/>
      <c r="L17" s="245"/>
    </row>
    <row r="18" spans="1:12" x14ac:dyDescent="0.3">
      <c r="B18" s="89" t="s">
        <v>283</v>
      </c>
      <c r="C18" s="95" t="s">
        <v>301</v>
      </c>
      <c r="D18" s="95"/>
      <c r="E18" s="102" t="s">
        <v>78</v>
      </c>
      <c r="F18" s="95"/>
      <c r="G18" s="251" t="s">
        <v>293</v>
      </c>
      <c r="H18" s="246" t="s">
        <v>313</v>
      </c>
      <c r="I18" s="241"/>
      <c r="J18" s="241"/>
      <c r="K18" s="241"/>
      <c r="L18" s="242"/>
    </row>
    <row r="19" spans="1:12" x14ac:dyDescent="0.3">
      <c r="B19" s="88" t="s">
        <v>284</v>
      </c>
      <c r="C19" s="103" t="s">
        <v>285</v>
      </c>
      <c r="D19" s="95"/>
      <c r="E19" s="104" t="s">
        <v>79</v>
      </c>
      <c r="F19" s="95"/>
      <c r="G19" s="243" t="s">
        <v>294</v>
      </c>
      <c r="H19" s="247" t="s">
        <v>312</v>
      </c>
      <c r="I19" s="244"/>
      <c r="J19" s="244"/>
      <c r="K19" s="244"/>
      <c r="L19" s="245"/>
    </row>
    <row r="20" spans="1:12" x14ac:dyDescent="0.3">
      <c r="B20" s="88" t="s">
        <v>286</v>
      </c>
      <c r="C20" s="103">
        <v>2.59</v>
      </c>
      <c r="D20" s="95"/>
      <c r="E20" s="105" t="s">
        <v>80</v>
      </c>
      <c r="F20" s="95"/>
      <c r="G20" s="251" t="s">
        <v>295</v>
      </c>
      <c r="H20" s="246" t="s">
        <v>314</v>
      </c>
      <c r="I20" s="241"/>
      <c r="J20" s="241"/>
      <c r="K20" s="241"/>
      <c r="L20" s="242"/>
    </row>
    <row r="21" spans="1:12" x14ac:dyDescent="0.3">
      <c r="B21" s="90" t="s">
        <v>287</v>
      </c>
      <c r="C21" s="91">
        <f>'DCF Analysis'!E39</f>
        <v>2.2891077369361805</v>
      </c>
      <c r="D21" s="92"/>
      <c r="E21" s="93" t="s">
        <v>81</v>
      </c>
      <c r="F21" s="92"/>
      <c r="G21" s="252" t="s">
        <v>296</v>
      </c>
      <c r="H21" s="248" t="s">
        <v>288</v>
      </c>
      <c r="I21" s="248"/>
      <c r="J21" s="248"/>
      <c r="K21" s="248"/>
      <c r="L21" s="249"/>
    </row>
    <row r="29" spans="1:12" x14ac:dyDescent="0.3">
      <c r="A29" s="83" t="s">
        <v>289</v>
      </c>
    </row>
    <row r="30" spans="1:12" x14ac:dyDescent="0.3">
      <c r="A30" s="83" t="s">
        <v>290</v>
      </c>
    </row>
    <row r="31" spans="1:12" x14ac:dyDescent="0.3">
      <c r="A31" s="83" t="s">
        <v>291</v>
      </c>
    </row>
  </sheetData>
  <mergeCells count="1">
    <mergeCell ref="G6:K9"/>
  </mergeCells>
  <hyperlinks>
    <hyperlink ref="G14" location="'Income Statement'!A1" display="1. Income Statement" xr:uid="{BE1CD701-CC0C-4A3A-B2B8-CF04E4DB4AC5}"/>
    <hyperlink ref="G15" location="'Balance Sheet'!A1" display="2. Balance Sheet" xr:uid="{DE2C4672-B7BA-4AC3-BCDD-E0ECD8A348A5}"/>
    <hyperlink ref="G16" location="'Cash Flow Statement'!A1" display="3. Cash Flow Statement" xr:uid="{9DFFEE1D-ED15-4B78-97EC-1B6D9BA52F2F}"/>
    <hyperlink ref="G17" location="'Financial Metrics'!A1" display="4. Financial Metrics" xr:uid="{D61A7EB1-BD42-4DFE-BF01-A2A67739A3D0}"/>
    <hyperlink ref="G19" location="'Operating Working Capital'!A1" display="6. Operating Working Capital" xr:uid="{5C4F18D4-4BEC-4215-9D85-EF3809AEBD61}"/>
    <hyperlink ref="G20" location="'Debt Schedule'!A1" display="7. Debt Schedule" xr:uid="{20FC58DA-AA95-4AA5-AC08-8F076D611D7A}"/>
    <hyperlink ref="G21" location="'DCF Analysis'!A1" display="8. DCF Analysis" xr:uid="{48C577E2-F978-43ED-AD9C-664C5D39D277}"/>
    <hyperlink ref="G18" location="Depreciation!A1" display="5. Depreciation" xr:uid="{9C3C1AFA-7B86-4116-BCBB-12FFE5A74792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56"/>
  <sheetViews>
    <sheetView topLeftCell="A19" zoomScale="70" zoomScaleNormal="70" workbookViewId="0">
      <selection activeCell="B47" sqref="B47:J55"/>
    </sheetView>
  </sheetViews>
  <sheetFormatPr defaultRowHeight="14.4" x14ac:dyDescent="0.3"/>
  <cols>
    <col min="2" max="2" width="53.6640625" bestFit="1" customWidth="1"/>
    <col min="3" max="3" width="8" bestFit="1" customWidth="1"/>
    <col min="4" max="5" width="9.88671875" bestFit="1" customWidth="1"/>
    <col min="6" max="10" width="14.33203125" bestFit="1" customWidth="1"/>
    <col min="12" max="13" width="0" hidden="1" customWidth="1"/>
  </cols>
  <sheetData>
    <row r="2" spans="2:12" x14ac:dyDescent="0.3">
      <c r="B2" s="112"/>
      <c r="C2" s="113"/>
      <c r="D2" s="262" t="s">
        <v>302</v>
      </c>
      <c r="E2" s="262"/>
      <c r="F2" s="262"/>
      <c r="G2" s="263" t="s">
        <v>303</v>
      </c>
      <c r="H2" s="263"/>
      <c r="I2" s="263"/>
      <c r="J2" s="264"/>
    </row>
    <row r="3" spans="2:12" ht="15" thickBot="1" x14ac:dyDescent="0.35">
      <c r="B3" s="109" t="s">
        <v>304</v>
      </c>
      <c r="C3" s="19"/>
      <c r="D3" s="110" t="s">
        <v>139</v>
      </c>
      <c r="E3" s="110" t="s">
        <v>140</v>
      </c>
      <c r="F3" s="110" t="s">
        <v>141</v>
      </c>
      <c r="G3" s="110" t="s">
        <v>305</v>
      </c>
      <c r="H3" s="110" t="s">
        <v>306</v>
      </c>
      <c r="I3" s="110" t="s">
        <v>307</v>
      </c>
      <c r="J3" s="111" t="s">
        <v>308</v>
      </c>
      <c r="L3" t="s">
        <v>118</v>
      </c>
    </row>
    <row r="4" spans="2:12" x14ac:dyDescent="0.3">
      <c r="B4" s="108"/>
      <c r="C4" s="19" t="s">
        <v>16</v>
      </c>
      <c r="D4" s="19"/>
      <c r="E4" s="19"/>
      <c r="F4" s="19"/>
      <c r="G4" s="19"/>
      <c r="H4" s="19"/>
      <c r="I4" s="19"/>
      <c r="J4" s="114"/>
    </row>
    <row r="5" spans="2:12" x14ac:dyDescent="0.3">
      <c r="B5" s="108" t="s">
        <v>0</v>
      </c>
      <c r="C5" s="19"/>
      <c r="D5" s="115">
        <v>2512970</v>
      </c>
      <c r="E5" s="115">
        <v>2771277</v>
      </c>
      <c r="F5" s="115">
        <v>3126053</v>
      </c>
      <c r="G5" s="116">
        <f>F5*(1+G48)</f>
        <v>3344876.71</v>
      </c>
      <c r="H5" s="116">
        <f>G5*(1+H48)</f>
        <v>3579018.0797000001</v>
      </c>
      <c r="I5" s="116">
        <f>H5*(1+I48)</f>
        <v>3829549.3452790002</v>
      </c>
      <c r="J5" s="117">
        <f>I5*(1+J48)</f>
        <v>4097617.7994485307</v>
      </c>
    </row>
    <row r="6" spans="2:12" x14ac:dyDescent="0.3">
      <c r="B6" s="108" t="s">
        <v>1</v>
      </c>
      <c r="C6" s="19"/>
      <c r="D6" s="115">
        <v>-735162</v>
      </c>
      <c r="E6" s="115">
        <v>-787030</v>
      </c>
      <c r="F6" s="115">
        <v>-887062</v>
      </c>
      <c r="G6" s="116">
        <f>-G5*G49</f>
        <v>-953289.86234999995</v>
      </c>
      <c r="H6" s="116">
        <f>-H5*H49</f>
        <v>-1020020.1527145</v>
      </c>
      <c r="I6" s="116">
        <f>-I5*I49</f>
        <v>-1091421.5634045149</v>
      </c>
      <c r="J6" s="117">
        <f>-J5*J49</f>
        <v>-1167821.072842831</v>
      </c>
    </row>
    <row r="7" spans="2:12" x14ac:dyDescent="0.3">
      <c r="B7" s="108" t="s">
        <v>2</v>
      </c>
      <c r="C7" s="19"/>
      <c r="D7" s="115">
        <f>SUM(D5:D6)</f>
        <v>1777808</v>
      </c>
      <c r="E7" s="115">
        <f t="shared" ref="E7:F7" si="0">SUM(E5:E6)</f>
        <v>1984247</v>
      </c>
      <c r="F7" s="115">
        <f t="shared" si="0"/>
        <v>2238991</v>
      </c>
      <c r="G7" s="118">
        <f>SUM(G5:G6)</f>
        <v>2391586.8476499999</v>
      </c>
      <c r="H7" s="118">
        <f t="shared" ref="H7:J7" si="1">SUM(H5:H6)</f>
        <v>2558997.9269855004</v>
      </c>
      <c r="I7" s="118">
        <f t="shared" si="1"/>
        <v>2738127.7818744853</v>
      </c>
      <c r="J7" s="119">
        <f t="shared" si="1"/>
        <v>2929796.7266056994</v>
      </c>
    </row>
    <row r="8" spans="2:12" x14ac:dyDescent="0.3">
      <c r="B8" s="108"/>
      <c r="C8" s="19"/>
      <c r="D8" s="120"/>
      <c r="E8" s="120"/>
      <c r="F8" s="120"/>
      <c r="G8" s="19"/>
      <c r="H8" s="19"/>
      <c r="I8" s="19"/>
      <c r="J8" s="114"/>
    </row>
    <row r="9" spans="2:12" x14ac:dyDescent="0.3">
      <c r="B9" s="108" t="s">
        <v>3</v>
      </c>
      <c r="C9" s="19"/>
      <c r="D9" s="115">
        <v>32939</v>
      </c>
      <c r="E9" s="115">
        <v>45696</v>
      </c>
      <c r="F9" s="115">
        <v>20286</v>
      </c>
      <c r="G9" s="121">
        <f>G50*G5</f>
        <v>33448.767099999997</v>
      </c>
      <c r="H9" s="121">
        <f>H50*H5</f>
        <v>35790.180797000001</v>
      </c>
      <c r="I9" s="121">
        <f>I50*I5</f>
        <v>38295.493452790004</v>
      </c>
      <c r="J9" s="122">
        <f>J50*J5</f>
        <v>40976.177994485304</v>
      </c>
    </row>
    <row r="10" spans="2:12" x14ac:dyDescent="0.3">
      <c r="B10" s="108" t="s">
        <v>4</v>
      </c>
      <c r="C10" s="19"/>
      <c r="D10" s="123">
        <v>0</v>
      </c>
      <c r="E10" s="123">
        <v>0</v>
      </c>
      <c r="F10" s="115">
        <v>162614</v>
      </c>
      <c r="G10" s="123">
        <v>0</v>
      </c>
      <c r="H10" s="123">
        <v>0</v>
      </c>
      <c r="I10" s="123">
        <v>0</v>
      </c>
      <c r="J10" s="124">
        <v>0</v>
      </c>
      <c r="L10" t="s">
        <v>133</v>
      </c>
    </row>
    <row r="11" spans="2:12" x14ac:dyDescent="0.3">
      <c r="B11" s="108" t="s">
        <v>5</v>
      </c>
      <c r="C11" s="19"/>
      <c r="D11" s="115">
        <v>-743853</v>
      </c>
      <c r="E11" s="115">
        <v>-858909</v>
      </c>
      <c r="F11" s="115">
        <v>-1033250</v>
      </c>
      <c r="G11" s="125">
        <f>-G51*G5</f>
        <v>-1170706.8484999998</v>
      </c>
      <c r="H11" s="125">
        <f t="shared" ref="H11:J11" si="2">-H51*H5</f>
        <v>-1252656.3278949999</v>
      </c>
      <c r="I11" s="125">
        <f t="shared" si="2"/>
        <v>-1340342.27084765</v>
      </c>
      <c r="J11" s="126">
        <f t="shared" si="2"/>
        <v>-1434166.2298069857</v>
      </c>
    </row>
    <row r="12" spans="2:12" x14ac:dyDescent="0.3">
      <c r="B12" s="108" t="s">
        <v>7</v>
      </c>
      <c r="C12" s="19"/>
      <c r="D12" s="115">
        <v>-128995</v>
      </c>
      <c r="E12" s="115">
        <v>-133396</v>
      </c>
      <c r="F12" s="115">
        <v>-147813</v>
      </c>
      <c r="G12" s="116">
        <f>Depreciation!G8</f>
        <v>-152531.81</v>
      </c>
      <c r="H12" s="116">
        <f>Depreciation!H8</f>
        <v>-153760.76609999998</v>
      </c>
      <c r="I12" s="116">
        <f>Depreciation!I8</f>
        <v>-165111.22054099999</v>
      </c>
      <c r="J12" s="117">
        <f>Depreciation!J8</f>
        <v>-328490.08863820997</v>
      </c>
      <c r="L12" t="s">
        <v>122</v>
      </c>
    </row>
    <row r="13" spans="2:12" x14ac:dyDescent="0.3">
      <c r="B13" s="108" t="s">
        <v>6</v>
      </c>
      <c r="C13" s="19"/>
      <c r="D13" s="115">
        <v>-345018</v>
      </c>
      <c r="E13" s="115">
        <v>-399729</v>
      </c>
      <c r="F13" s="115">
        <v>-453606</v>
      </c>
      <c r="G13" s="125">
        <f>-G52*G5</f>
        <v>-485007.12294999999</v>
      </c>
      <c r="H13" s="125">
        <f t="shared" ref="H13:J13" si="3">-H52*H5</f>
        <v>-518957.62155649997</v>
      </c>
      <c r="I13" s="125">
        <f t="shared" si="3"/>
        <v>-555284.65506545501</v>
      </c>
      <c r="J13" s="126">
        <f t="shared" si="3"/>
        <v>-594154.58092003688</v>
      </c>
    </row>
    <row r="14" spans="2:12" x14ac:dyDescent="0.3">
      <c r="B14" s="108" t="s">
        <v>8</v>
      </c>
      <c r="C14" s="19"/>
      <c r="D14" s="115">
        <v>-328562</v>
      </c>
      <c r="E14" s="115">
        <v>-347757</v>
      </c>
      <c r="F14" s="115">
        <v>-397370</v>
      </c>
      <c r="G14" s="125">
        <f>-G53*G5</f>
        <v>-426471.78052500001</v>
      </c>
      <c r="H14" s="125">
        <f t="shared" ref="H14:J14" si="4">-H53*H5</f>
        <v>-456324.80516175</v>
      </c>
      <c r="I14" s="125">
        <f t="shared" si="4"/>
        <v>-488267.54152307252</v>
      </c>
      <c r="J14" s="126">
        <f t="shared" si="4"/>
        <v>-522446.26942968764</v>
      </c>
    </row>
    <row r="15" spans="2:12" x14ac:dyDescent="0.3">
      <c r="B15" s="108" t="s">
        <v>9</v>
      </c>
      <c r="C15" s="19"/>
      <c r="D15" s="115">
        <v>-16587</v>
      </c>
      <c r="E15" s="115">
        <v>-19611</v>
      </c>
      <c r="F15" s="115">
        <v>-21203</v>
      </c>
      <c r="G15" s="116">
        <f>-'Debt Schedule'!H29</f>
        <v>-20650.609</v>
      </c>
      <c r="H15" s="116">
        <f>-'Debt Schedule'!I29</f>
        <v>-26500.609</v>
      </c>
      <c r="I15" s="116">
        <f>-'Debt Schedule'!J29</f>
        <v>-32350.609000000004</v>
      </c>
      <c r="J15" s="117">
        <f>-'Debt Schedule'!K29</f>
        <v>-32350.609000000004</v>
      </c>
      <c r="L15" t="s">
        <v>121</v>
      </c>
    </row>
    <row r="16" spans="2:12" x14ac:dyDescent="0.3">
      <c r="B16" s="108" t="s">
        <v>10</v>
      </c>
      <c r="C16" s="19"/>
      <c r="D16" s="123">
        <v>0</v>
      </c>
      <c r="E16" s="123">
        <v>0</v>
      </c>
      <c r="F16" s="115">
        <v>-10973</v>
      </c>
      <c r="G16" s="123">
        <v>0</v>
      </c>
      <c r="H16" s="123">
        <v>0</v>
      </c>
      <c r="I16" s="123">
        <v>0</v>
      </c>
      <c r="J16" s="124">
        <v>0</v>
      </c>
      <c r="L16" t="s">
        <v>123</v>
      </c>
    </row>
    <row r="17" spans="2:17" x14ac:dyDescent="0.3">
      <c r="B17" s="108" t="s">
        <v>11</v>
      </c>
      <c r="C17" s="19"/>
      <c r="D17" s="115">
        <f>D7+SUM(D9:D16)</f>
        <v>247732</v>
      </c>
      <c r="E17" s="115">
        <f>E7+SUM(E9:E16)</f>
        <v>270541</v>
      </c>
      <c r="F17" s="115">
        <f>F7+SUM(F9:F16)</f>
        <v>357676</v>
      </c>
      <c r="G17" s="121">
        <f>G7+SUM(G9:G16)</f>
        <v>169667.44377500005</v>
      </c>
      <c r="H17" s="121">
        <f t="shared" ref="H17" si="5">H7+SUM(H9:H16)</f>
        <v>186587.97806925047</v>
      </c>
      <c r="I17" s="121">
        <f>I7+SUM(I9:I16)</f>
        <v>195066.97835009778</v>
      </c>
      <c r="J17" s="122">
        <f>J7+SUM(J9:J16)</f>
        <v>59165.126805264503</v>
      </c>
    </row>
    <row r="18" spans="2:17" x14ac:dyDescent="0.3">
      <c r="B18" s="108"/>
      <c r="C18" s="19"/>
      <c r="D18" s="115"/>
      <c r="E18" s="115"/>
      <c r="F18" s="115"/>
      <c r="G18" s="121"/>
      <c r="H18" s="121"/>
      <c r="I18" s="121"/>
      <c r="J18" s="122"/>
    </row>
    <row r="19" spans="2:17" x14ac:dyDescent="0.3">
      <c r="B19" s="108" t="s">
        <v>151</v>
      </c>
      <c r="C19" s="19"/>
      <c r="D19" s="115">
        <f>D11+D13+D14</f>
        <v>-1417433</v>
      </c>
      <c r="E19" s="115">
        <f t="shared" ref="E19:J19" si="6">E11+E13+E14</f>
        <v>-1606395</v>
      </c>
      <c r="F19" s="115">
        <f t="shared" si="6"/>
        <v>-1884226</v>
      </c>
      <c r="G19" s="115">
        <f>G11+G13+G14</f>
        <v>-2082185.7519749999</v>
      </c>
      <c r="H19" s="115">
        <f t="shared" si="6"/>
        <v>-2227938.75461325</v>
      </c>
      <c r="I19" s="115">
        <f t="shared" si="6"/>
        <v>-2383894.4674361777</v>
      </c>
      <c r="J19" s="127">
        <f t="shared" si="6"/>
        <v>-2550767.08015671</v>
      </c>
    </row>
    <row r="20" spans="2:17" x14ac:dyDescent="0.3">
      <c r="B20" s="108"/>
      <c r="C20" s="19"/>
      <c r="D20" s="120"/>
      <c r="E20" s="120"/>
      <c r="F20" s="120"/>
      <c r="G20" s="19"/>
      <c r="H20" s="19"/>
      <c r="I20" s="19"/>
      <c r="J20" s="114"/>
    </row>
    <row r="21" spans="2:17" x14ac:dyDescent="0.3">
      <c r="B21" s="108" t="s">
        <v>12</v>
      </c>
      <c r="C21" s="19"/>
      <c r="D21" s="115">
        <v>-50853</v>
      </c>
      <c r="E21" s="115">
        <v>-60908</v>
      </c>
      <c r="F21" s="115">
        <v>-52742</v>
      </c>
      <c r="G21" s="116">
        <f>-G54*G17</f>
        <v>-33933.488755000013</v>
      </c>
      <c r="H21" s="116">
        <f t="shared" ref="H21:I21" si="7">-H54*H17</f>
        <v>-37317.595613850099</v>
      </c>
      <c r="I21" s="116">
        <f t="shared" si="7"/>
        <v>-39013.395670019556</v>
      </c>
      <c r="J21" s="117">
        <f>-J54*J17</f>
        <v>-11833.025361052902</v>
      </c>
      <c r="L21" t="s">
        <v>132</v>
      </c>
      <c r="Q21" s="3"/>
    </row>
    <row r="22" spans="2:17" x14ac:dyDescent="0.3">
      <c r="B22" s="108" t="s">
        <v>13</v>
      </c>
      <c r="C22" s="19"/>
      <c r="D22" s="115">
        <f>D17+D21</f>
        <v>196879</v>
      </c>
      <c r="E22" s="115">
        <f t="shared" ref="E22:F22" si="8">E17+E21</f>
        <v>209633</v>
      </c>
      <c r="F22" s="115">
        <f t="shared" si="8"/>
        <v>304934</v>
      </c>
      <c r="G22" s="120">
        <f>G17+G21</f>
        <v>135733.95502000005</v>
      </c>
      <c r="H22" s="120">
        <f t="shared" ref="H22" si="9">H17+H21</f>
        <v>149270.38245540037</v>
      </c>
      <c r="I22" s="120">
        <f>I17+I21</f>
        <v>156053.58268007822</v>
      </c>
      <c r="J22" s="128">
        <f>J17+J21</f>
        <v>47332.101444211599</v>
      </c>
    </row>
    <row r="23" spans="2:17" x14ac:dyDescent="0.3">
      <c r="B23" s="108"/>
      <c r="C23" s="19"/>
      <c r="D23" s="19"/>
      <c r="E23" s="19"/>
      <c r="F23" s="19"/>
      <c r="G23" s="19"/>
      <c r="H23" s="19"/>
      <c r="I23" s="19"/>
      <c r="J23" s="114"/>
    </row>
    <row r="24" spans="2:17" x14ac:dyDescent="0.3">
      <c r="B24" s="108" t="s">
        <v>166</v>
      </c>
      <c r="C24" s="19"/>
      <c r="D24" s="120">
        <f>D17-D12-D15</f>
        <v>393314</v>
      </c>
      <c r="E24" s="120">
        <f t="shared" ref="E24:J24" si="10">E17-E12-E15</f>
        <v>423548</v>
      </c>
      <c r="F24" s="120">
        <f>F17-F12-F15</f>
        <v>526692</v>
      </c>
      <c r="G24" s="120">
        <f t="shared" si="10"/>
        <v>342849.86277500005</v>
      </c>
      <c r="H24" s="120">
        <f t="shared" si="10"/>
        <v>366849.35316925048</v>
      </c>
      <c r="I24" s="120">
        <f t="shared" si="10"/>
        <v>392528.80789109779</v>
      </c>
      <c r="J24" s="128">
        <f t="shared" si="10"/>
        <v>420005.82444347447</v>
      </c>
    </row>
    <row r="25" spans="2:17" x14ac:dyDescent="0.3">
      <c r="B25" s="108" t="s">
        <v>167</v>
      </c>
      <c r="C25" s="19"/>
      <c r="D25" s="120">
        <f>D17-D12</f>
        <v>376727</v>
      </c>
      <c r="E25" s="120">
        <f t="shared" ref="E25:J25" si="11">E17-E12</f>
        <v>403937</v>
      </c>
      <c r="F25" s="120">
        <f t="shared" si="11"/>
        <v>505489</v>
      </c>
      <c r="G25" s="120">
        <f t="shared" si="11"/>
        <v>322199.25377500005</v>
      </c>
      <c r="H25" s="120">
        <f t="shared" si="11"/>
        <v>340348.74416925048</v>
      </c>
      <c r="I25" s="120">
        <f t="shared" si="11"/>
        <v>360178.1988910978</v>
      </c>
      <c r="J25" s="128">
        <f t="shared" si="11"/>
        <v>387655.21544347447</v>
      </c>
    </row>
    <row r="26" spans="2:17" x14ac:dyDescent="0.3">
      <c r="B26" s="108" t="s">
        <v>168</v>
      </c>
      <c r="C26" s="19"/>
      <c r="D26" s="120">
        <f>D17</f>
        <v>247732</v>
      </c>
      <c r="E26" s="120">
        <f t="shared" ref="E26:J26" si="12">E17</f>
        <v>270541</v>
      </c>
      <c r="F26" s="120">
        <f t="shared" si="12"/>
        <v>357676</v>
      </c>
      <c r="G26" s="120">
        <f t="shared" si="12"/>
        <v>169667.44377500005</v>
      </c>
      <c r="H26" s="120">
        <f t="shared" si="12"/>
        <v>186587.97806925047</v>
      </c>
      <c r="I26" s="120">
        <f t="shared" si="12"/>
        <v>195066.97835009778</v>
      </c>
      <c r="J26" s="128">
        <f t="shared" si="12"/>
        <v>59165.126805264503</v>
      </c>
    </row>
    <row r="27" spans="2:17" x14ac:dyDescent="0.3">
      <c r="B27" s="108"/>
      <c r="C27" s="19"/>
      <c r="D27" s="19"/>
      <c r="E27" s="19"/>
      <c r="F27" s="19"/>
      <c r="G27" s="19"/>
      <c r="H27" s="19"/>
      <c r="I27" s="19"/>
      <c r="J27" s="114"/>
    </row>
    <row r="28" spans="2:17" x14ac:dyDescent="0.3">
      <c r="B28" s="108" t="s">
        <v>18</v>
      </c>
      <c r="C28" s="19"/>
      <c r="D28" s="129"/>
      <c r="E28" s="129"/>
      <c r="F28" s="129"/>
      <c r="G28" s="19"/>
      <c r="H28" s="19"/>
      <c r="I28" s="19"/>
      <c r="J28" s="114"/>
    </row>
    <row r="29" spans="2:17" x14ac:dyDescent="0.3">
      <c r="B29" s="108" t="s">
        <v>19</v>
      </c>
      <c r="C29" s="19"/>
      <c r="D29" s="115">
        <v>-9061</v>
      </c>
      <c r="E29" s="115">
        <v>12332</v>
      </c>
      <c r="F29" s="115">
        <v>-13655</v>
      </c>
      <c r="G29" s="125">
        <f>G55*G5</f>
        <v>14717.457524000001</v>
      </c>
      <c r="H29" s="125">
        <f t="shared" ref="H29:J29" si="13">H55*H5</f>
        <v>-15747.679550680001</v>
      </c>
      <c r="I29" s="125">
        <f t="shared" si="13"/>
        <v>16850.017119227603</v>
      </c>
      <c r="J29" s="126">
        <f t="shared" si="13"/>
        <v>-18029.518317573536</v>
      </c>
    </row>
    <row r="30" spans="2:17" x14ac:dyDescent="0.3">
      <c r="B30" s="108" t="s">
        <v>20</v>
      </c>
      <c r="C30" s="19"/>
      <c r="D30" s="115">
        <v>-1605</v>
      </c>
      <c r="E30" s="123">
        <v>0</v>
      </c>
      <c r="F30" s="115">
        <v>-1270</v>
      </c>
      <c r="G30" s="123">
        <v>0</v>
      </c>
      <c r="H30" s="123">
        <v>0</v>
      </c>
      <c r="I30" s="123">
        <v>0</v>
      </c>
      <c r="J30" s="124">
        <v>0</v>
      </c>
      <c r="L30" t="s">
        <v>123</v>
      </c>
    </row>
    <row r="31" spans="2:17" x14ac:dyDescent="0.3">
      <c r="B31" s="108" t="s">
        <v>21</v>
      </c>
      <c r="C31" s="19"/>
      <c r="D31" s="123">
        <v>0</v>
      </c>
      <c r="E31" s="123">
        <v>0</v>
      </c>
      <c r="F31" s="123">
        <v>976</v>
      </c>
      <c r="G31" s="123">
        <v>0</v>
      </c>
      <c r="H31" s="123">
        <v>0</v>
      </c>
      <c r="I31" s="123">
        <v>0</v>
      </c>
      <c r="J31" s="124">
        <v>0</v>
      </c>
      <c r="L31" t="s">
        <v>123</v>
      </c>
    </row>
    <row r="32" spans="2:17" x14ac:dyDescent="0.3">
      <c r="B32" s="108"/>
      <c r="C32" s="19"/>
      <c r="D32" s="19"/>
      <c r="E32" s="19"/>
      <c r="F32" s="19"/>
      <c r="G32" s="19"/>
      <c r="H32" s="19"/>
      <c r="I32" s="19"/>
      <c r="J32" s="114"/>
    </row>
    <row r="33" spans="2:12" x14ac:dyDescent="0.3">
      <c r="B33" s="108" t="s">
        <v>24</v>
      </c>
      <c r="C33" s="19"/>
      <c r="D33" s="19"/>
      <c r="E33" s="19"/>
      <c r="F33" s="19"/>
      <c r="G33" s="19"/>
      <c r="H33" s="19"/>
      <c r="I33" s="19"/>
      <c r="J33" s="114"/>
    </row>
    <row r="34" spans="2:12" x14ac:dyDescent="0.3">
      <c r="B34" s="108" t="s">
        <v>22</v>
      </c>
      <c r="C34" s="19"/>
      <c r="D34" s="115">
        <v>35576</v>
      </c>
      <c r="E34" s="115">
        <v>1044</v>
      </c>
      <c r="F34" s="123">
        <v>0</v>
      </c>
      <c r="G34" s="123">
        <v>0</v>
      </c>
      <c r="H34" s="123">
        <v>0</v>
      </c>
      <c r="I34" s="123">
        <v>0</v>
      </c>
      <c r="J34" s="124">
        <v>0</v>
      </c>
      <c r="L34" t="s">
        <v>123</v>
      </c>
    </row>
    <row r="35" spans="2:12" x14ac:dyDescent="0.3">
      <c r="B35" s="108"/>
      <c r="C35" s="19"/>
      <c r="D35" s="120"/>
      <c r="E35" s="120"/>
      <c r="F35" s="19"/>
      <c r="G35" s="19"/>
      <c r="H35" s="19"/>
      <c r="I35" s="19"/>
      <c r="J35" s="114"/>
    </row>
    <row r="36" spans="2:12" x14ac:dyDescent="0.3">
      <c r="B36" s="108" t="s">
        <v>135</v>
      </c>
      <c r="C36" s="19"/>
      <c r="D36" s="115">
        <f>SUM(D29:D31)+D34</f>
        <v>24910</v>
      </c>
      <c r="E36" s="115">
        <f>SUM(E29:E31)+E34</f>
        <v>13376</v>
      </c>
      <c r="F36" s="115">
        <f>SUM(F29:F31)+F34</f>
        <v>-13949</v>
      </c>
      <c r="G36" s="121">
        <f>SUM(G29:G31)+G34</f>
        <v>14717.457524000001</v>
      </c>
      <c r="H36" s="121">
        <f t="shared" ref="H36:J36" si="14">SUM(H29:H31)+H34</f>
        <v>-15747.679550680001</v>
      </c>
      <c r="I36" s="121">
        <f t="shared" si="14"/>
        <v>16850.017119227603</v>
      </c>
      <c r="J36" s="122">
        <f t="shared" si="14"/>
        <v>-18029.518317573536</v>
      </c>
      <c r="L36" t="s">
        <v>134</v>
      </c>
    </row>
    <row r="37" spans="2:12" x14ac:dyDescent="0.3">
      <c r="B37" s="108" t="s">
        <v>23</v>
      </c>
      <c r="C37" s="19"/>
      <c r="D37" s="115">
        <f>D22+D36</f>
        <v>221789</v>
      </c>
      <c r="E37" s="115">
        <f t="shared" ref="E37" si="15">E22+E36</f>
        <v>223009</v>
      </c>
      <c r="F37" s="115">
        <f>F22+F36</f>
        <v>290985</v>
      </c>
      <c r="G37" s="120">
        <f>G22+G36</f>
        <v>150451.41254400005</v>
      </c>
      <c r="H37" s="120">
        <f t="shared" ref="H37:I37" si="16">H22+H36</f>
        <v>133522.70290472035</v>
      </c>
      <c r="I37" s="120">
        <f t="shared" si="16"/>
        <v>172903.59979930584</v>
      </c>
      <c r="J37" s="128">
        <f>J22+J36</f>
        <v>29302.583126638063</v>
      </c>
    </row>
    <row r="38" spans="2:12" x14ac:dyDescent="0.3">
      <c r="B38" s="108"/>
      <c r="C38" s="19"/>
      <c r="D38" s="19"/>
      <c r="E38" s="19"/>
      <c r="F38" s="19"/>
      <c r="G38" s="19"/>
      <c r="H38" s="19"/>
      <c r="I38" s="19"/>
      <c r="J38" s="114"/>
    </row>
    <row r="39" spans="2:12" x14ac:dyDescent="0.3">
      <c r="B39" s="108" t="s">
        <v>25</v>
      </c>
      <c r="C39" s="19"/>
      <c r="D39" s="19"/>
      <c r="E39" s="19"/>
      <c r="F39" s="19"/>
      <c r="G39" s="19"/>
      <c r="H39" s="19"/>
      <c r="I39" s="19"/>
      <c r="J39" s="114"/>
    </row>
    <row r="40" spans="2:12" x14ac:dyDescent="0.3">
      <c r="B40" s="108" t="s">
        <v>14</v>
      </c>
      <c r="C40" s="19"/>
      <c r="D40" s="115">
        <v>122390</v>
      </c>
      <c r="E40" s="115">
        <v>123063</v>
      </c>
      <c r="F40" s="115">
        <v>290985</v>
      </c>
      <c r="G40" s="130"/>
      <c r="H40" s="130"/>
      <c r="I40" s="130"/>
      <c r="J40" s="131"/>
      <c r="L40" t="s">
        <v>136</v>
      </c>
    </row>
    <row r="41" spans="2:12" x14ac:dyDescent="0.3">
      <c r="B41" s="108" t="s">
        <v>15</v>
      </c>
      <c r="C41" s="19"/>
      <c r="D41" s="115">
        <v>99399</v>
      </c>
      <c r="E41" s="115">
        <v>99946</v>
      </c>
      <c r="F41" s="123">
        <v>0</v>
      </c>
      <c r="G41" s="132"/>
      <c r="H41" s="132"/>
      <c r="I41" s="132"/>
      <c r="J41" s="133"/>
    </row>
    <row r="42" spans="2:12" x14ac:dyDescent="0.3">
      <c r="B42" s="108"/>
      <c r="C42" s="19"/>
      <c r="D42" s="115"/>
      <c r="E42" s="115"/>
      <c r="F42" s="123"/>
      <c r="G42" s="19"/>
      <c r="H42" s="19"/>
      <c r="I42" s="19"/>
      <c r="J42" s="114"/>
    </row>
    <row r="43" spans="2:12" x14ac:dyDescent="0.3">
      <c r="B43" s="134" t="s">
        <v>186</v>
      </c>
      <c r="C43" s="17"/>
      <c r="D43" s="135"/>
      <c r="E43" s="135"/>
      <c r="F43" s="136"/>
      <c r="G43" s="17"/>
      <c r="H43" s="17"/>
      <c r="I43" s="17"/>
      <c r="J43" s="137"/>
    </row>
    <row r="44" spans="2:12" x14ac:dyDescent="0.3">
      <c r="B44" s="134" t="s">
        <v>189</v>
      </c>
      <c r="C44" s="17"/>
      <c r="D44" s="135"/>
      <c r="E44" s="135"/>
      <c r="F44" s="138">
        <f>512392500*100/51.2</f>
        <v>1000766601.5625</v>
      </c>
      <c r="G44" s="138">
        <f>F44</f>
        <v>1000766601.5625</v>
      </c>
      <c r="H44" s="138">
        <f t="shared" ref="H44:J44" si="17">G44</f>
        <v>1000766601.5625</v>
      </c>
      <c r="I44" s="138">
        <f t="shared" si="17"/>
        <v>1000766601.5625</v>
      </c>
      <c r="J44" s="139">
        <f t="shared" si="17"/>
        <v>1000766601.5625</v>
      </c>
    </row>
    <row r="45" spans="2:12" x14ac:dyDescent="0.3">
      <c r="B45" s="140" t="s">
        <v>190</v>
      </c>
      <c r="C45" s="141"/>
      <c r="D45" s="141"/>
      <c r="E45" s="141"/>
      <c r="F45" s="142">
        <f>6375000/0.6335%</f>
        <v>1006314127.8610892</v>
      </c>
      <c r="G45" s="143">
        <f>F45</f>
        <v>1006314127.8610892</v>
      </c>
      <c r="H45" s="143">
        <f t="shared" ref="H45:J45" si="18">G45</f>
        <v>1006314127.8610892</v>
      </c>
      <c r="I45" s="143">
        <f t="shared" si="18"/>
        <v>1006314127.8610892</v>
      </c>
      <c r="J45" s="144">
        <f t="shared" si="18"/>
        <v>1006314127.8610892</v>
      </c>
      <c r="L45" t="s">
        <v>191</v>
      </c>
    </row>
    <row r="46" spans="2:12" x14ac:dyDescent="0.3">
      <c r="G46" s="1"/>
      <c r="I46" s="4"/>
    </row>
    <row r="47" spans="2:12" x14ac:dyDescent="0.3">
      <c r="B47" s="149" t="s">
        <v>304</v>
      </c>
      <c r="C47" s="149"/>
      <c r="D47" s="253" t="s">
        <v>139</v>
      </c>
      <c r="E47" s="253" t="s">
        <v>140</v>
      </c>
      <c r="F47" s="253" t="s">
        <v>141</v>
      </c>
      <c r="G47" s="253" t="s">
        <v>305</v>
      </c>
      <c r="H47" s="253" t="s">
        <v>306</v>
      </c>
      <c r="I47" s="253" t="s">
        <v>307</v>
      </c>
      <c r="J47" s="253" t="s">
        <v>308</v>
      </c>
    </row>
    <row r="48" spans="2:12" x14ac:dyDescent="0.3">
      <c r="B48" s="149" t="s">
        <v>119</v>
      </c>
      <c r="C48" s="149"/>
      <c r="D48" s="150"/>
      <c r="E48" s="151">
        <f>(E5-D5)/D5</f>
        <v>0.10278952792910381</v>
      </c>
      <c r="F48" s="151">
        <f>(F5-E5)/E5</f>
        <v>0.12801896021220541</v>
      </c>
      <c r="G48" s="152">
        <v>7.0000000000000007E-2</v>
      </c>
      <c r="H48" s="152">
        <v>7.0000000000000007E-2</v>
      </c>
      <c r="I48" s="152">
        <v>7.0000000000000007E-2</v>
      </c>
      <c r="J48" s="152">
        <v>7.0000000000000007E-2</v>
      </c>
    </row>
    <row r="49" spans="2:12" x14ac:dyDescent="0.3">
      <c r="B49" s="149" t="s">
        <v>120</v>
      </c>
      <c r="C49" s="149"/>
      <c r="D49" s="151">
        <f>-D6/D5</f>
        <v>0.29254706582251283</v>
      </c>
      <c r="E49" s="151">
        <f>-E6/E5</f>
        <v>0.28399542882216394</v>
      </c>
      <c r="F49" s="151">
        <f>-F6/F5</f>
        <v>0.28376422280748281</v>
      </c>
      <c r="G49" s="153">
        <v>0.28499999999999998</v>
      </c>
      <c r="H49" s="153">
        <v>0.28499999999999998</v>
      </c>
      <c r="I49" s="153">
        <v>0.28499999999999998</v>
      </c>
      <c r="J49" s="153">
        <v>0.28499999999999998</v>
      </c>
    </row>
    <row r="50" spans="2:12" x14ac:dyDescent="0.3">
      <c r="B50" s="149" t="s">
        <v>130</v>
      </c>
      <c r="C50" s="149"/>
      <c r="D50" s="154">
        <f>D9/D5</f>
        <v>1.3107597782703335E-2</v>
      </c>
      <c r="E50" s="154">
        <f>E9/E5</f>
        <v>1.6489149226150978E-2</v>
      </c>
      <c r="F50" s="154">
        <f>F9/F5</f>
        <v>6.489333354232958E-3</v>
      </c>
      <c r="G50" s="152">
        <v>0.01</v>
      </c>
      <c r="H50" s="152">
        <v>0.01</v>
      </c>
      <c r="I50" s="152">
        <v>0.01</v>
      </c>
      <c r="J50" s="152">
        <v>0.01</v>
      </c>
    </row>
    <row r="51" spans="2:12" x14ac:dyDescent="0.3">
      <c r="B51" s="149" t="s">
        <v>124</v>
      </c>
      <c r="C51" s="149"/>
      <c r="D51" s="154">
        <f>-D11/D5</f>
        <v>0.29600552334488672</v>
      </c>
      <c r="E51" s="154">
        <f>-E11/E5</f>
        <v>0.30993256899256189</v>
      </c>
      <c r="F51" s="154">
        <f>-F11/F5</f>
        <v>0.33052862507449488</v>
      </c>
      <c r="G51" s="152">
        <v>0.35</v>
      </c>
      <c r="H51" s="152">
        <v>0.35</v>
      </c>
      <c r="I51" s="152">
        <v>0.35</v>
      </c>
      <c r="J51" s="152">
        <v>0.35</v>
      </c>
      <c r="L51" t="s">
        <v>129</v>
      </c>
    </row>
    <row r="52" spans="2:12" x14ac:dyDescent="0.3">
      <c r="B52" s="149" t="s">
        <v>125</v>
      </c>
      <c r="C52" s="149"/>
      <c r="D52" s="154">
        <f>-D13/D5</f>
        <v>0.13729491398623939</v>
      </c>
      <c r="E52" s="154">
        <f>-E13/E5</f>
        <v>0.14424000199186152</v>
      </c>
      <c r="F52" s="154">
        <f>-F13/F5</f>
        <v>0.14510502541063763</v>
      </c>
      <c r="G52" s="153">
        <v>0.14499999999999999</v>
      </c>
      <c r="H52" s="153">
        <v>0.14499999999999999</v>
      </c>
      <c r="I52" s="153">
        <v>0.14499999999999999</v>
      </c>
      <c r="J52" s="153">
        <v>0.14499999999999999</v>
      </c>
      <c r="L52" t="s">
        <v>128</v>
      </c>
    </row>
    <row r="53" spans="2:12" x14ac:dyDescent="0.3">
      <c r="B53" s="149" t="s">
        <v>126</v>
      </c>
      <c r="C53" s="149"/>
      <c r="D53" s="154">
        <f>-D14/D5</f>
        <v>0.13074648722428042</v>
      </c>
      <c r="E53" s="154">
        <f>-E14/E5</f>
        <v>0.12548619282734999</v>
      </c>
      <c r="F53" s="154">
        <f>-F14/F5</f>
        <v>0.127115567138497</v>
      </c>
      <c r="G53" s="153">
        <v>0.1275</v>
      </c>
      <c r="H53" s="153">
        <v>0.1275</v>
      </c>
      <c r="I53" s="153">
        <v>0.1275</v>
      </c>
      <c r="J53" s="153">
        <v>0.1275</v>
      </c>
      <c r="L53" t="s">
        <v>127</v>
      </c>
    </row>
    <row r="54" spans="2:12" x14ac:dyDescent="0.3">
      <c r="B54" s="149" t="s">
        <v>131</v>
      </c>
      <c r="C54" s="149"/>
      <c r="D54" s="154">
        <f>-D21/D17</f>
        <v>0.20527424797765326</v>
      </c>
      <c r="E54" s="154">
        <f t="shared" ref="E54:F54" si="19">-E21/E17</f>
        <v>0.22513408318886971</v>
      </c>
      <c r="F54" s="154">
        <f t="shared" si="19"/>
        <v>0.14745747548060256</v>
      </c>
      <c r="G54" s="155">
        <v>0.2</v>
      </c>
      <c r="H54" s="155">
        <v>0.2</v>
      </c>
      <c r="I54" s="155">
        <v>0.2</v>
      </c>
      <c r="J54" s="155">
        <v>0.2</v>
      </c>
      <c r="L54" t="s">
        <v>132</v>
      </c>
    </row>
    <row r="55" spans="2:12" x14ac:dyDescent="0.3">
      <c r="B55" s="149" t="s">
        <v>19</v>
      </c>
      <c r="C55" s="149"/>
      <c r="D55" s="154">
        <f>D29/D5</f>
        <v>-3.6056936612852519E-3</v>
      </c>
      <c r="E55" s="154">
        <f t="shared" ref="E55:F55" si="20">E29/E5</f>
        <v>4.4499340917562554E-3</v>
      </c>
      <c r="F55" s="154">
        <f t="shared" si="20"/>
        <v>-4.3681281155501846E-3</v>
      </c>
      <c r="G55" s="153">
        <v>4.4000000000000003E-3</v>
      </c>
      <c r="H55" s="153">
        <v>-4.4000000000000003E-3</v>
      </c>
      <c r="I55" s="153">
        <v>4.4000000000000003E-3</v>
      </c>
      <c r="J55" s="153">
        <v>-4.4000000000000003E-3</v>
      </c>
    </row>
    <row r="56" spans="2:12" x14ac:dyDescent="0.3">
      <c r="D56" s="3"/>
      <c r="E56" s="3"/>
      <c r="F56" s="3"/>
      <c r="G56" s="64"/>
      <c r="H56" s="64"/>
      <c r="I56" s="64"/>
      <c r="J56" s="64"/>
    </row>
  </sheetData>
  <mergeCells count="2">
    <mergeCell ref="D2:F2"/>
    <mergeCell ref="G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26F52-7F3D-400F-9F75-027E5FD01D46}">
  <dimension ref="B2:L52"/>
  <sheetViews>
    <sheetView zoomScale="70" zoomScaleNormal="70" workbookViewId="0">
      <selection activeCell="A33" sqref="A33"/>
    </sheetView>
  </sheetViews>
  <sheetFormatPr defaultRowHeight="14.4" x14ac:dyDescent="0.3"/>
  <cols>
    <col min="2" max="2" width="42.109375" bestFit="1" customWidth="1"/>
    <col min="4" max="6" width="10.44140625" bestFit="1" customWidth="1"/>
    <col min="7" max="7" width="12.77734375" bestFit="1" customWidth="1"/>
    <col min="8" max="10" width="11.5546875" bestFit="1" customWidth="1"/>
    <col min="12" max="13" width="0" hidden="1" customWidth="1"/>
  </cols>
  <sheetData>
    <row r="2" spans="2:12" x14ac:dyDescent="0.3">
      <c r="B2" s="112"/>
      <c r="C2" s="113"/>
      <c r="D2" s="262" t="s">
        <v>302</v>
      </c>
      <c r="E2" s="262"/>
      <c r="F2" s="262"/>
      <c r="G2" s="263" t="s">
        <v>303</v>
      </c>
      <c r="H2" s="263"/>
      <c r="I2" s="263"/>
      <c r="J2" s="264"/>
    </row>
    <row r="3" spans="2:12" ht="15" thickBot="1" x14ac:dyDescent="0.35">
      <c r="B3" s="109" t="s">
        <v>304</v>
      </c>
      <c r="C3" s="19"/>
      <c r="D3" s="110" t="s">
        <v>139</v>
      </c>
      <c r="E3" s="110" t="s">
        <v>140</v>
      </c>
      <c r="F3" s="110" t="s">
        <v>141</v>
      </c>
      <c r="G3" s="110" t="s">
        <v>305</v>
      </c>
      <c r="H3" s="110" t="s">
        <v>306</v>
      </c>
      <c r="I3" s="110" t="s">
        <v>307</v>
      </c>
      <c r="J3" s="111" t="s">
        <v>308</v>
      </c>
      <c r="L3" t="s">
        <v>118</v>
      </c>
    </row>
    <row r="4" spans="2:12" x14ac:dyDescent="0.3">
      <c r="B4" s="108"/>
      <c r="C4" s="19" t="s">
        <v>16</v>
      </c>
      <c r="D4" s="156"/>
      <c r="E4" s="156"/>
      <c r="F4" s="156"/>
      <c r="G4" s="156"/>
      <c r="H4" s="156"/>
      <c r="I4" s="156"/>
      <c r="J4" s="157"/>
    </row>
    <row r="5" spans="2:12" x14ac:dyDescent="0.3">
      <c r="B5" s="108" t="s">
        <v>26</v>
      </c>
      <c r="C5" s="19"/>
      <c r="D5" s="19"/>
      <c r="E5" s="19"/>
      <c r="F5" s="19"/>
      <c r="G5" s="19"/>
      <c r="H5" s="19"/>
      <c r="I5" s="19"/>
      <c r="J5" s="114"/>
    </row>
    <row r="6" spans="2:12" x14ac:dyDescent="0.3">
      <c r="B6" s="108" t="s">
        <v>27</v>
      </c>
      <c r="C6" s="19"/>
      <c r="D6" s="162">
        <v>721674</v>
      </c>
      <c r="E6" s="162">
        <v>743305</v>
      </c>
      <c r="F6" s="162">
        <v>802799</v>
      </c>
      <c r="G6" s="120">
        <f>F6-'Cash Flow Statement'!G36+'Cash Flow Statement'!G38-'Cash Flow Statement'!G14-'Cash Flow Statement'!G15</f>
        <v>809267.19</v>
      </c>
      <c r="H6" s="120">
        <f>G6-'Cash Flow Statement'!H36+'Cash Flow Statement'!H38-'Cash Flow Statement'!H14-'Cash Flow Statement'!H15</f>
        <v>869006.42389999994</v>
      </c>
      <c r="I6" s="120">
        <f>H6-'Cash Flow Statement'!I36+'Cash Flow Statement'!I38-'Cash Flow Statement'!I14-'Cash Flow Statement'!I15</f>
        <v>1728895.2033589999</v>
      </c>
      <c r="J6" s="128">
        <f>I6-'Cash Flow Statement'!J36+'Cash Flow Statement'!J38-'Cash Flow Statement'!J14-'Cash Flow Statement'!J15</f>
        <v>1646262.1826877019</v>
      </c>
    </row>
    <row r="7" spans="2:12" x14ac:dyDescent="0.3">
      <c r="B7" s="108" t="s">
        <v>28</v>
      </c>
      <c r="C7" s="19"/>
      <c r="D7" s="162">
        <v>13426</v>
      </c>
      <c r="E7" s="162">
        <v>13608</v>
      </c>
      <c r="F7" s="162">
        <v>12655</v>
      </c>
      <c r="G7" s="120">
        <f>F7+'Cash Flow Statement'!G53</f>
        <v>12655</v>
      </c>
      <c r="H7" s="120">
        <f>G7+'Cash Flow Statement'!H53</f>
        <v>12655</v>
      </c>
      <c r="I7" s="120">
        <f>H7+'Cash Flow Statement'!I53</f>
        <v>12655</v>
      </c>
      <c r="J7" s="128">
        <f>I7+'Cash Flow Statement'!J53</f>
        <v>12655</v>
      </c>
      <c r="L7" t="s">
        <v>264</v>
      </c>
    </row>
    <row r="8" spans="2:12" x14ac:dyDescent="0.3">
      <c r="B8" s="108" t="s">
        <v>29</v>
      </c>
      <c r="C8" s="19"/>
      <c r="D8" s="162">
        <v>290626</v>
      </c>
      <c r="E8" s="162">
        <v>18027</v>
      </c>
      <c r="F8" s="162">
        <v>10655</v>
      </c>
      <c r="G8" s="120">
        <f>F8+'Cash Flow Statement'!G39+'Cash Flow Statement'!G44</f>
        <v>10655</v>
      </c>
      <c r="H8" s="120">
        <f>G8+'Cash Flow Statement'!H39+'Cash Flow Statement'!H44</f>
        <v>10655</v>
      </c>
      <c r="I8" s="120">
        <f>H8+'Cash Flow Statement'!I39+'Cash Flow Statement'!I44</f>
        <v>10655</v>
      </c>
      <c r="J8" s="128">
        <f>I8+'Cash Flow Statement'!J39+'Cash Flow Statement'!J44</f>
        <v>10655</v>
      </c>
    </row>
    <row r="9" spans="2:12" x14ac:dyDescent="0.3">
      <c r="B9" s="108" t="s">
        <v>30</v>
      </c>
      <c r="C9" s="19"/>
      <c r="D9" s="163">
        <v>712</v>
      </c>
      <c r="E9" s="163">
        <v>557</v>
      </c>
      <c r="F9" s="163">
        <v>400</v>
      </c>
      <c r="G9" s="19">
        <f>F9+'Cash Flow Statement'!G37</f>
        <v>400</v>
      </c>
      <c r="H9" s="19">
        <f>G9+'Cash Flow Statement'!H37</f>
        <v>400</v>
      </c>
      <c r="I9" s="19">
        <f>H9+'Cash Flow Statement'!I37</f>
        <v>400</v>
      </c>
      <c r="J9" s="114">
        <f>I9+'Cash Flow Statement'!J37</f>
        <v>400</v>
      </c>
    </row>
    <row r="10" spans="2:12" x14ac:dyDescent="0.3">
      <c r="B10" s="108" t="s">
        <v>31</v>
      </c>
      <c r="C10" s="19"/>
      <c r="D10" s="162">
        <v>99690</v>
      </c>
      <c r="E10" s="162">
        <v>140951</v>
      </c>
      <c r="F10" s="162">
        <v>136249</v>
      </c>
      <c r="G10" s="120">
        <f>F10-'Cash Flow Statement'!G23/2</f>
        <v>133397.33216057293</v>
      </c>
      <c r="H10" s="120">
        <f>G10-'Cash Flow Statement'!H23/2</f>
        <v>136535.07041181304</v>
      </c>
      <c r="I10" s="120">
        <f>H10-'Cash Flow Statement'!I23/2</f>
        <v>139892.45034063995</v>
      </c>
      <c r="J10" s="128">
        <f>I10-'Cash Flow Statement'!J23/2</f>
        <v>143484.84686448475</v>
      </c>
    </row>
    <row r="11" spans="2:12" x14ac:dyDescent="0.3">
      <c r="B11" s="108" t="s">
        <v>32</v>
      </c>
      <c r="C11" s="19"/>
      <c r="D11" s="162">
        <v>14700</v>
      </c>
      <c r="E11" s="162">
        <v>16289</v>
      </c>
      <c r="F11" s="162">
        <v>19741</v>
      </c>
      <c r="G11" s="120">
        <f>F11</f>
        <v>19741</v>
      </c>
      <c r="H11" s="120">
        <f t="shared" ref="H11:J11" si="0">G11</f>
        <v>19741</v>
      </c>
      <c r="I11" s="120">
        <f t="shared" si="0"/>
        <v>19741</v>
      </c>
      <c r="J11" s="128">
        <f t="shared" si="0"/>
        <v>19741</v>
      </c>
      <c r="L11" t="s">
        <v>267</v>
      </c>
    </row>
    <row r="12" spans="2:12" x14ac:dyDescent="0.3">
      <c r="B12" s="108" t="s">
        <v>33</v>
      </c>
      <c r="C12" s="19"/>
      <c r="D12" s="162">
        <f>SUM(D6:D11)</f>
        <v>1140828</v>
      </c>
      <c r="E12" s="162">
        <f t="shared" ref="E12:F12" si="1">SUM(E6:E11)</f>
        <v>932737</v>
      </c>
      <c r="F12" s="162">
        <f t="shared" si="1"/>
        <v>982499</v>
      </c>
      <c r="G12" s="120">
        <f>SUM(G6:G11)</f>
        <v>986115.52216057293</v>
      </c>
      <c r="H12" s="120">
        <f t="shared" ref="H12:J12" si="2">SUM(H6:H11)</f>
        <v>1048992.494311813</v>
      </c>
      <c r="I12" s="120">
        <f t="shared" si="2"/>
        <v>1912238.65369964</v>
      </c>
      <c r="J12" s="128">
        <f t="shared" si="2"/>
        <v>1833198.0295521866</v>
      </c>
    </row>
    <row r="13" spans="2:12" x14ac:dyDescent="0.3">
      <c r="B13" s="134"/>
      <c r="C13" s="19"/>
      <c r="D13" s="19"/>
      <c r="E13" s="19"/>
      <c r="F13" s="19"/>
      <c r="G13" s="19"/>
      <c r="H13" s="19"/>
      <c r="I13" s="19"/>
      <c r="J13" s="114"/>
    </row>
    <row r="14" spans="2:12" x14ac:dyDescent="0.3">
      <c r="B14" s="134" t="s">
        <v>34</v>
      </c>
      <c r="C14" s="19"/>
      <c r="D14" s="19"/>
      <c r="E14" s="19"/>
      <c r="F14" s="19"/>
      <c r="G14" s="19"/>
      <c r="H14" s="19"/>
      <c r="I14" s="19"/>
      <c r="J14" s="114"/>
    </row>
    <row r="15" spans="2:12" x14ac:dyDescent="0.3">
      <c r="B15" s="134" t="s">
        <v>35</v>
      </c>
      <c r="C15" s="19"/>
      <c r="D15" s="162">
        <v>39709</v>
      </c>
      <c r="E15" s="162">
        <v>39157</v>
      </c>
      <c r="F15" s="162">
        <v>56555</v>
      </c>
      <c r="G15" s="120">
        <f>F15-'Cash Flow Statement'!G21</f>
        <v>50312.520512916664</v>
      </c>
      <c r="H15" s="120">
        <f>G15-'Cash Flow Statement'!H21</f>
        <v>53834.396948820831</v>
      </c>
      <c r="I15" s="120">
        <f>H15-'Cash Flow Statement'!I21</f>
        <v>57602.804735238293</v>
      </c>
      <c r="J15" s="128">
        <f>I15-'Cash Flow Statement'!J21</f>
        <v>61635.001066704972</v>
      </c>
    </row>
    <row r="16" spans="2:12" x14ac:dyDescent="0.3">
      <c r="B16" s="134" t="s">
        <v>36</v>
      </c>
      <c r="C16" s="19"/>
      <c r="D16" s="162">
        <v>8127</v>
      </c>
      <c r="E16" s="162">
        <v>19327</v>
      </c>
      <c r="F16" s="162">
        <v>18700</v>
      </c>
      <c r="G16" s="120">
        <f>F16-'Cash Flow Statement'!G22</f>
        <v>18582.648388888887</v>
      </c>
      <c r="H16" s="120">
        <f>G16-'Cash Flow Statement'!H22</f>
        <v>19883.433776111113</v>
      </c>
      <c r="I16" s="120">
        <f>H16-'Cash Flow Statement'!I22</f>
        <v>21275.274140438891</v>
      </c>
      <c r="J16" s="128">
        <f>I16-'Cash Flow Statement'!J22</f>
        <v>22764.543330269615</v>
      </c>
    </row>
    <row r="17" spans="2:12" x14ac:dyDescent="0.3">
      <c r="B17" s="134" t="s">
        <v>31</v>
      </c>
      <c r="C17" s="19"/>
      <c r="D17" s="162">
        <v>71291</v>
      </c>
      <c r="E17" s="162">
        <v>80267</v>
      </c>
      <c r="F17" s="162">
        <v>95353</v>
      </c>
      <c r="G17" s="116">
        <f>F17-'Cash Flow Statement'!G23/2</f>
        <v>92501.332160572914</v>
      </c>
      <c r="H17" s="116">
        <f>G17-'Cash Flow Statement'!H23/2</f>
        <v>95639.070411813023</v>
      </c>
      <c r="I17" s="116">
        <f>H17-'Cash Flow Statement'!I23/2</f>
        <v>98996.450340639931</v>
      </c>
      <c r="J17" s="117">
        <f>I17-'Cash Flow Statement'!J23/2</f>
        <v>102588.84686448472</v>
      </c>
    </row>
    <row r="18" spans="2:12" x14ac:dyDescent="0.3">
      <c r="B18" s="134" t="s">
        <v>37</v>
      </c>
      <c r="C18" s="19"/>
      <c r="D18" s="162">
        <v>57900</v>
      </c>
      <c r="E18" s="162">
        <v>0</v>
      </c>
      <c r="F18" s="162">
        <v>0</v>
      </c>
      <c r="G18" s="63">
        <f>F18</f>
        <v>0</v>
      </c>
      <c r="H18" s="63">
        <f t="shared" ref="H18:J18" si="3">G18</f>
        <v>0</v>
      </c>
      <c r="I18" s="63">
        <f t="shared" si="3"/>
        <v>0</v>
      </c>
      <c r="J18" s="195">
        <f t="shared" si="3"/>
        <v>0</v>
      </c>
      <c r="L18" t="s">
        <v>265</v>
      </c>
    </row>
    <row r="19" spans="2:12" x14ac:dyDescent="0.3">
      <c r="B19" s="134" t="s">
        <v>38</v>
      </c>
      <c r="C19" s="19"/>
      <c r="D19" s="162">
        <v>744804</v>
      </c>
      <c r="E19" s="162">
        <v>65590</v>
      </c>
      <c r="F19" s="163">
        <v>302</v>
      </c>
      <c r="G19" s="19">
        <f>F19-'Cash Flow Statement'!G25</f>
        <v>302</v>
      </c>
      <c r="H19" s="19">
        <f>G19-'Cash Flow Statement'!H25</f>
        <v>302</v>
      </c>
      <c r="I19" s="19">
        <f>H19-'Cash Flow Statement'!I25</f>
        <v>302</v>
      </c>
      <c r="J19" s="114">
        <f>I19-'Cash Flow Statement'!J25</f>
        <v>302</v>
      </c>
    </row>
    <row r="20" spans="2:12" x14ac:dyDescent="0.3">
      <c r="B20" s="134" t="s">
        <v>39</v>
      </c>
      <c r="C20" s="19"/>
      <c r="D20" s="163">
        <v>675</v>
      </c>
      <c r="E20" s="162">
        <v>1494</v>
      </c>
      <c r="F20" s="162">
        <v>0</v>
      </c>
      <c r="G20" s="120">
        <f>F20-'Cash Flow Statement'!G24</f>
        <v>0</v>
      </c>
      <c r="H20" s="120">
        <f>G20-'Cash Flow Statement'!H24</f>
        <v>0</v>
      </c>
      <c r="I20" s="120">
        <f>H20-'Cash Flow Statement'!I24</f>
        <v>0</v>
      </c>
      <c r="J20" s="128">
        <f>I20-'Cash Flow Statement'!J24</f>
        <v>0</v>
      </c>
    </row>
    <row r="21" spans="2:12" x14ac:dyDescent="0.3">
      <c r="B21" s="134" t="s">
        <v>40</v>
      </c>
      <c r="C21" s="19"/>
      <c r="D21" s="162">
        <v>22880</v>
      </c>
      <c r="E21" s="162">
        <v>11158</v>
      </c>
      <c r="F21" s="162">
        <v>0</v>
      </c>
      <c r="G21" s="120">
        <f>F21+'Cash Flow Statement'!G26</f>
        <v>0</v>
      </c>
      <c r="H21" s="120">
        <f>G21+'Cash Flow Statement'!H26</f>
        <v>0</v>
      </c>
      <c r="I21" s="120">
        <f>H21+'Cash Flow Statement'!I26</f>
        <v>0</v>
      </c>
      <c r="J21" s="128">
        <f>I21+'Cash Flow Statement'!J26</f>
        <v>0</v>
      </c>
    </row>
    <row r="22" spans="2:12" x14ac:dyDescent="0.3">
      <c r="B22" s="134" t="s">
        <v>41</v>
      </c>
      <c r="C22" s="19"/>
      <c r="D22" s="162">
        <v>4120</v>
      </c>
      <c r="E22" s="163">
        <v>983</v>
      </c>
      <c r="F22" s="163">
        <v>851</v>
      </c>
      <c r="G22" s="19">
        <f>F22+'Cash Flow Statement'!G16+'Cash Flow Statement'!G40+'Cash Flow Statement'!G45</f>
        <v>851</v>
      </c>
      <c r="H22" s="19">
        <f>G22+'Cash Flow Statement'!H16+'Cash Flow Statement'!H40+'Cash Flow Statement'!H45</f>
        <v>851</v>
      </c>
      <c r="I22" s="19">
        <f>H22+'Cash Flow Statement'!I16+'Cash Flow Statement'!I40+'Cash Flow Statement'!I45</f>
        <v>851</v>
      </c>
      <c r="J22" s="114">
        <f>I22+'Cash Flow Statement'!J16+'Cash Flow Statement'!J40+'Cash Flow Statement'!J45</f>
        <v>851</v>
      </c>
    </row>
    <row r="23" spans="2:12" x14ac:dyDescent="0.3">
      <c r="B23" s="134" t="s">
        <v>42</v>
      </c>
      <c r="C23" s="19"/>
      <c r="D23" s="162">
        <v>0</v>
      </c>
      <c r="E23" s="162">
        <v>56707</v>
      </c>
      <c r="F23" s="162">
        <v>0</v>
      </c>
      <c r="G23" s="120">
        <f>F23+'Cash Flow Statement'!F46</f>
        <v>0</v>
      </c>
      <c r="H23" s="120">
        <f>G23+'Cash Flow Statement'!G46</f>
        <v>0</v>
      </c>
      <c r="I23" s="120">
        <f>H23+'Cash Flow Statement'!H46</f>
        <v>0</v>
      </c>
      <c r="J23" s="128">
        <f>I23+'Cash Flow Statement'!I46</f>
        <v>0</v>
      </c>
    </row>
    <row r="24" spans="2:12" x14ac:dyDescent="0.3">
      <c r="B24" s="134" t="s">
        <v>43</v>
      </c>
      <c r="C24" s="19"/>
      <c r="D24" s="162">
        <v>3975</v>
      </c>
      <c r="E24" s="162">
        <v>1140</v>
      </c>
      <c r="F24" s="162">
        <v>2785</v>
      </c>
      <c r="G24" s="120">
        <f>F24</f>
        <v>2785</v>
      </c>
      <c r="H24" s="120">
        <f t="shared" ref="H24:J24" si="4">G24</f>
        <v>2785</v>
      </c>
      <c r="I24" s="120">
        <f t="shared" si="4"/>
        <v>2785</v>
      </c>
      <c r="J24" s="128">
        <f t="shared" si="4"/>
        <v>2785</v>
      </c>
      <c r="L24" t="s">
        <v>266</v>
      </c>
    </row>
    <row r="25" spans="2:12" x14ac:dyDescent="0.3">
      <c r="B25" s="134" t="s">
        <v>44</v>
      </c>
      <c r="C25" s="19"/>
      <c r="D25" s="162">
        <v>152491</v>
      </c>
      <c r="E25" s="162">
        <v>164682</v>
      </c>
      <c r="F25" s="162">
        <v>242162</v>
      </c>
      <c r="G25" s="158">
        <f ca="1">F25+'Cash Flow Statement'!G59+'Cash Flow Statement'!G61</f>
        <v>366143.83406311541</v>
      </c>
      <c r="H25" s="158">
        <f ca="1">G25+'Cash Flow Statement'!H59+'Cash Flow Statement'!H61</f>
        <v>846452.83562632732</v>
      </c>
      <c r="I25" s="158">
        <f ca="1">H25+'Cash Flow Statement'!I59+'Cash Flow Statement'!I61</f>
        <v>118170.62933781464</v>
      </c>
      <c r="J25" s="159">
        <f ca="1">I25+'Cash Flow Statement'!J59+'Cash Flow Statement'!J61</f>
        <v>232477.08440201322</v>
      </c>
    </row>
    <row r="26" spans="2:12" x14ac:dyDescent="0.3">
      <c r="B26" s="134" t="s">
        <v>45</v>
      </c>
      <c r="C26" s="19"/>
      <c r="D26" s="162">
        <v>0</v>
      </c>
      <c r="E26" s="162">
        <v>361145</v>
      </c>
      <c r="F26" s="162">
        <v>0</v>
      </c>
      <c r="G26" s="120">
        <f>F26</f>
        <v>0</v>
      </c>
      <c r="H26" s="120">
        <f t="shared" ref="H26:J26" si="5">G26</f>
        <v>0</v>
      </c>
      <c r="I26" s="120">
        <f t="shared" si="5"/>
        <v>0</v>
      </c>
      <c r="J26" s="128">
        <f t="shared" si="5"/>
        <v>0</v>
      </c>
      <c r="L26" t="s">
        <v>266</v>
      </c>
    </row>
    <row r="27" spans="2:12" x14ac:dyDescent="0.3">
      <c r="B27" s="134" t="s">
        <v>46</v>
      </c>
      <c r="C27" s="19"/>
      <c r="D27" s="162">
        <f>SUM(D15:D26)</f>
        <v>1105972</v>
      </c>
      <c r="E27" s="162">
        <f t="shared" ref="E27:F27" si="6">SUM(E15:E26)</f>
        <v>801650</v>
      </c>
      <c r="F27" s="162">
        <f t="shared" si="6"/>
        <v>416708</v>
      </c>
      <c r="G27" s="120">
        <f ca="1">SUM(G15:G26)</f>
        <v>531478.33512549382</v>
      </c>
      <c r="H27" s="120">
        <f t="shared" ref="H27:J27" ca="1" si="7">SUM(H15:H26)</f>
        <v>1019747.7367630723</v>
      </c>
      <c r="I27" s="120">
        <f t="shared" ca="1" si="7"/>
        <v>299983.15855413175</v>
      </c>
      <c r="J27" s="128">
        <f t="shared" ca="1" si="7"/>
        <v>423403.47566347255</v>
      </c>
    </row>
    <row r="28" spans="2:12" x14ac:dyDescent="0.3">
      <c r="B28" s="134"/>
      <c r="C28" s="19"/>
      <c r="D28" s="19"/>
      <c r="E28" s="19"/>
      <c r="F28" s="19"/>
      <c r="G28" s="19"/>
      <c r="H28" s="19"/>
      <c r="I28" s="19"/>
      <c r="J28" s="114"/>
    </row>
    <row r="29" spans="2:12" x14ac:dyDescent="0.3">
      <c r="B29" s="134" t="s">
        <v>47</v>
      </c>
      <c r="C29" s="19"/>
      <c r="D29" s="19"/>
      <c r="E29" s="19"/>
      <c r="F29" s="19"/>
      <c r="G29" s="19"/>
      <c r="H29" s="19"/>
      <c r="I29" s="19"/>
      <c r="J29" s="114"/>
    </row>
    <row r="30" spans="2:12" x14ac:dyDescent="0.3">
      <c r="B30" s="134" t="s">
        <v>48</v>
      </c>
      <c r="C30" s="19"/>
      <c r="D30" s="162">
        <v>97210</v>
      </c>
      <c r="E30" s="162">
        <v>113286</v>
      </c>
      <c r="F30" s="162">
        <v>110468</v>
      </c>
      <c r="G30" s="120">
        <f>F30+'Cash Flow Statement'!G27</f>
        <v>124457.28758458333</v>
      </c>
      <c r="H30" s="120">
        <f>G30+'Cash Flow Statement'!H27</f>
        <v>133169.29771550416</v>
      </c>
      <c r="I30" s="120">
        <f>H30+'Cash Flow Statement'!I27</f>
        <v>142491.14855558943</v>
      </c>
      <c r="J30" s="128">
        <f>I30+'Cash Flow Statement'!J27</f>
        <v>152465.52895448072</v>
      </c>
    </row>
    <row r="31" spans="2:12" x14ac:dyDescent="0.3">
      <c r="B31" s="134" t="s">
        <v>49</v>
      </c>
      <c r="C31" s="19"/>
      <c r="D31" s="162">
        <v>198033</v>
      </c>
      <c r="E31" s="162">
        <v>191928</v>
      </c>
      <c r="F31" s="162">
        <v>216870</v>
      </c>
      <c r="G31" s="120">
        <f>F31+'Cash Flow Statement'!G28/2</f>
        <v>218328.13690979168</v>
      </c>
      <c r="H31" s="120">
        <f>G31+'Cash Flow Statement'!H28/2</f>
        <v>226020.65649347712</v>
      </c>
      <c r="I31" s="120">
        <f>H31+'Cash Flow Statement'!I28/2</f>
        <v>234251.65244802053</v>
      </c>
      <c r="J31" s="128">
        <f>I31+'Cash Flow Statement'!J28/2</f>
        <v>243058.81811938196</v>
      </c>
    </row>
    <row r="32" spans="2:12" x14ac:dyDescent="0.3">
      <c r="B32" s="134" t="s">
        <v>50</v>
      </c>
      <c r="C32" s="19"/>
      <c r="D32" s="162">
        <v>52546</v>
      </c>
      <c r="E32" s="162">
        <v>62733</v>
      </c>
      <c r="F32" s="162">
        <v>75062</v>
      </c>
      <c r="G32" s="120">
        <f>F32+'Cash Flow Statement'!G29</f>
        <v>72007.762506944448</v>
      </c>
      <c r="H32" s="120">
        <f>G32+'Cash Flow Statement'!H29</f>
        <v>77048.305882430563</v>
      </c>
      <c r="I32" s="120">
        <f>H32+'Cash Flow Statement'!I29</f>
        <v>82441.687294200703</v>
      </c>
      <c r="J32" s="128">
        <f>I32+'Cash Flow Statement'!J29</f>
        <v>88212.605404794755</v>
      </c>
    </row>
    <row r="33" spans="2:12" x14ac:dyDescent="0.3">
      <c r="B33" s="134" t="s">
        <v>51</v>
      </c>
      <c r="C33" s="19"/>
      <c r="D33" s="162">
        <v>64337</v>
      </c>
      <c r="E33" s="162">
        <v>42735</v>
      </c>
      <c r="F33" s="162">
        <v>0</v>
      </c>
      <c r="G33" s="120">
        <f>F33</f>
        <v>0</v>
      </c>
      <c r="H33" s="120">
        <f t="shared" ref="H33:J33" si="8">G33</f>
        <v>0</v>
      </c>
      <c r="I33" s="120">
        <f t="shared" si="8"/>
        <v>0</v>
      </c>
      <c r="J33" s="128">
        <f t="shared" si="8"/>
        <v>0</v>
      </c>
      <c r="L33" t="s">
        <v>268</v>
      </c>
    </row>
    <row r="34" spans="2:12" x14ac:dyDescent="0.3">
      <c r="B34" s="134" t="s">
        <v>52</v>
      </c>
      <c r="C34" s="19"/>
      <c r="D34" s="162">
        <v>889638</v>
      </c>
      <c r="E34" s="162">
        <v>1019178</v>
      </c>
      <c r="F34" s="162">
        <v>112357</v>
      </c>
      <c r="G34" s="19">
        <f>F34+'Cash Flow Statement'!G52/2</f>
        <v>112357</v>
      </c>
      <c r="H34" s="19">
        <f>G34+'Cash Flow Statement'!H52/2</f>
        <v>312357</v>
      </c>
      <c r="I34" s="19">
        <f>H34+'Cash Flow Statement'!I52/2</f>
        <v>312357</v>
      </c>
      <c r="J34" s="114">
        <f>I34+'Cash Flow Statement'!J52/2</f>
        <v>312357</v>
      </c>
    </row>
    <row r="35" spans="2:12" x14ac:dyDescent="0.3">
      <c r="B35" s="134" t="s">
        <v>53</v>
      </c>
      <c r="C35" s="19"/>
      <c r="D35" s="162">
        <v>18317</v>
      </c>
      <c r="E35" s="162">
        <v>30246</v>
      </c>
      <c r="F35" s="162">
        <v>17838</v>
      </c>
      <c r="G35" s="120">
        <f>F35</f>
        <v>17838</v>
      </c>
      <c r="H35" s="120">
        <f t="shared" ref="H35:J35" si="9">G35</f>
        <v>17838</v>
      </c>
      <c r="I35" s="120">
        <f t="shared" si="9"/>
        <v>17838</v>
      </c>
      <c r="J35" s="128">
        <f t="shared" si="9"/>
        <v>17838</v>
      </c>
      <c r="L35" t="s">
        <v>266</v>
      </c>
    </row>
    <row r="36" spans="2:12" x14ac:dyDescent="0.3">
      <c r="B36" s="134" t="s">
        <v>54</v>
      </c>
      <c r="C36" s="19"/>
      <c r="D36" s="162">
        <f>SUM(D30:D35)</f>
        <v>1320081</v>
      </c>
      <c r="E36" s="162">
        <f t="shared" ref="E36:F36" si="10">SUM(E30:E35)</f>
        <v>1460106</v>
      </c>
      <c r="F36" s="162">
        <f t="shared" si="10"/>
        <v>532595</v>
      </c>
      <c r="G36" s="120">
        <f>SUM(G30:G35)</f>
        <v>544988.18700131949</v>
      </c>
      <c r="H36" s="120">
        <f>SUM(H30:H35)</f>
        <v>766433.26009141188</v>
      </c>
      <c r="I36" s="120">
        <f t="shared" ref="I36:J36" si="11">SUM(I30:I35)</f>
        <v>789379.48829781066</v>
      </c>
      <c r="J36" s="128">
        <f t="shared" si="11"/>
        <v>813931.95247865748</v>
      </c>
    </row>
    <row r="37" spans="2:12" x14ac:dyDescent="0.3">
      <c r="B37" s="134"/>
      <c r="C37" s="19"/>
      <c r="D37" s="19"/>
      <c r="E37" s="19"/>
      <c r="F37" s="19"/>
      <c r="G37" s="19"/>
      <c r="H37" s="19"/>
      <c r="I37" s="19"/>
      <c r="J37" s="114"/>
    </row>
    <row r="38" spans="2:12" x14ac:dyDescent="0.3">
      <c r="B38" s="134" t="s">
        <v>55</v>
      </c>
      <c r="C38" s="19"/>
      <c r="D38" s="19"/>
      <c r="E38" s="19"/>
      <c r="F38" s="19"/>
      <c r="G38" s="19"/>
      <c r="H38" s="19"/>
      <c r="I38" s="19"/>
      <c r="J38" s="114"/>
    </row>
    <row r="39" spans="2:12" x14ac:dyDescent="0.3">
      <c r="B39" s="134" t="s">
        <v>49</v>
      </c>
      <c r="C39" s="19"/>
      <c r="D39" s="162">
        <v>50413</v>
      </c>
      <c r="E39" s="162">
        <v>66118</v>
      </c>
      <c r="F39" s="162">
        <v>68236</v>
      </c>
      <c r="G39" s="116">
        <f>F39+'Cash Flow Statement'!G28/2</f>
        <v>69694.136909791661</v>
      </c>
      <c r="H39" s="116">
        <f>G39+'Cash Flow Statement'!H28/2</f>
        <v>77386.656493477087</v>
      </c>
      <c r="I39" s="116">
        <f>H39+'Cash Flow Statement'!I28/2</f>
        <v>85617.652448020483</v>
      </c>
      <c r="J39" s="117">
        <f>I39+'Cash Flow Statement'!J28/2</f>
        <v>94424.818119381904</v>
      </c>
    </row>
    <row r="40" spans="2:12" x14ac:dyDescent="0.3">
      <c r="B40" s="134" t="s">
        <v>52</v>
      </c>
      <c r="C40" s="19"/>
      <c r="D40" s="163">
        <v>0</v>
      </c>
      <c r="E40" s="163">
        <v>0</v>
      </c>
      <c r="F40" s="162">
        <v>424802</v>
      </c>
      <c r="G40" s="116">
        <f>F40+'Cash Flow Statement'!G52/2</f>
        <v>424802</v>
      </c>
      <c r="H40" s="116">
        <f>G40+'Cash Flow Statement'!H52/2</f>
        <v>624802</v>
      </c>
      <c r="I40" s="116">
        <f>H40+'Cash Flow Statement'!I52/2</f>
        <v>624802</v>
      </c>
      <c r="J40" s="117">
        <f>I40+'Cash Flow Statement'!J52/2</f>
        <v>624802</v>
      </c>
    </row>
    <row r="41" spans="2:12" x14ac:dyDescent="0.3">
      <c r="B41" s="108" t="s">
        <v>56</v>
      </c>
      <c r="C41" s="19"/>
      <c r="D41" s="162">
        <v>10256</v>
      </c>
      <c r="E41" s="162">
        <v>10256</v>
      </c>
      <c r="F41" s="162">
        <v>7529</v>
      </c>
      <c r="G41" s="116">
        <f>F41</f>
        <v>7529</v>
      </c>
      <c r="H41" s="116">
        <f t="shared" ref="H41:J41" si="12">G41</f>
        <v>7529</v>
      </c>
      <c r="I41" s="116">
        <f t="shared" si="12"/>
        <v>7529</v>
      </c>
      <c r="J41" s="117">
        <f t="shared" si="12"/>
        <v>7529</v>
      </c>
      <c r="L41" t="s">
        <v>267</v>
      </c>
    </row>
    <row r="42" spans="2:12" x14ac:dyDescent="0.3">
      <c r="B42" s="108" t="s">
        <v>57</v>
      </c>
      <c r="C42" s="19"/>
      <c r="D42" s="162">
        <f>SUM(D39:D41)</f>
        <v>60669</v>
      </c>
      <c r="E42" s="162">
        <f t="shared" ref="E42:F42" si="13">SUM(E39:E41)</f>
        <v>76374</v>
      </c>
      <c r="F42" s="162">
        <f t="shared" si="13"/>
        <v>500567</v>
      </c>
      <c r="G42" s="116">
        <f>SUM(G39:G41)</f>
        <v>502025.13690979168</v>
      </c>
      <c r="H42" s="116">
        <f t="shared" ref="H42:J42" si="14">SUM(H39:H41)</f>
        <v>709717.65649347706</v>
      </c>
      <c r="I42" s="116">
        <f t="shared" si="14"/>
        <v>717948.65244802053</v>
      </c>
      <c r="J42" s="117">
        <f t="shared" si="14"/>
        <v>726755.8181193819</v>
      </c>
    </row>
    <row r="43" spans="2:12" x14ac:dyDescent="0.3">
      <c r="B43" s="108"/>
      <c r="C43" s="19"/>
      <c r="D43" s="19"/>
      <c r="E43" s="19"/>
      <c r="F43" s="19"/>
      <c r="G43" s="19"/>
      <c r="H43" s="19"/>
      <c r="I43" s="19"/>
      <c r="J43" s="114"/>
    </row>
    <row r="44" spans="2:12" x14ac:dyDescent="0.3">
      <c r="B44" s="108" t="s">
        <v>58</v>
      </c>
      <c r="C44" s="19"/>
      <c r="D44" s="19"/>
      <c r="E44" s="19"/>
      <c r="F44" s="19"/>
      <c r="G44" s="19"/>
      <c r="H44" s="19"/>
      <c r="I44" s="19"/>
      <c r="J44" s="114"/>
    </row>
    <row r="45" spans="2:12" x14ac:dyDescent="0.3">
      <c r="B45" s="108" t="s">
        <v>59</v>
      </c>
      <c r="C45" s="19"/>
      <c r="D45" s="163">
        <v>0</v>
      </c>
      <c r="E45" s="163">
        <v>1</v>
      </c>
      <c r="F45" s="163">
        <v>1</v>
      </c>
      <c r="G45" s="19">
        <f>F45+'Cash Flow Statement'!G51</f>
        <v>1</v>
      </c>
      <c r="H45" s="19">
        <f>G45+'Cash Flow Statement'!H51</f>
        <v>1</v>
      </c>
      <c r="I45" s="19">
        <f>H45+'Cash Flow Statement'!I51</f>
        <v>1</v>
      </c>
      <c r="J45" s="114">
        <f>I45+'Cash Flow Statement'!J51</f>
        <v>1</v>
      </c>
    </row>
    <row r="46" spans="2:12" x14ac:dyDescent="0.3">
      <c r="B46" s="108" t="s">
        <v>60</v>
      </c>
      <c r="C46" s="19"/>
      <c r="D46" s="162">
        <v>477912</v>
      </c>
      <c r="E46" s="162">
        <v>197659</v>
      </c>
      <c r="F46" s="162">
        <v>366044</v>
      </c>
      <c r="G46" s="196">
        <f ca="1">F46+'Cash Flow Statement'!G6+'Cash Flow Statement'!G31+'Cash Flow Statement'!G35+'Cash Flow Statement'!G54+'Cash Flow Statement'!G55+'Cash Flow Statement'!G61</f>
        <v>470579.53337495564</v>
      </c>
      <c r="H46" s="196">
        <f ca="1">G46+'Cash Flow Statement'!H6+'Cash Flow Statement'!H31+'Cash Flow Statement'!H35+'Cash Flow Statement'!H54+'Cash Flow Statement'!H55+'Cash Flow Statement'!H61</f>
        <v>592588.31448999641</v>
      </c>
      <c r="I46" s="196">
        <f ca="1">H46+'Cash Flow Statement'!I6+'Cash Flow Statement'!I31+'Cash Flow Statement'!I35+'Cash Flow Statement'!I54+'Cash Flow Statement'!I55+'Cash Flow Statement'!I61</f>
        <v>704892.67150794039</v>
      </c>
      <c r="J46" s="197">
        <f ca="1">I46+'Cash Flow Statement'!J6+'Cash Flow Statement'!J31+'Cash Flow Statement'!J35+'Cash Flow Statement'!J54+'Cash Flow Statement'!J55+'Cash Flow Statement'!J61</f>
        <v>715912.73461761954</v>
      </c>
    </row>
    <row r="47" spans="2:12" x14ac:dyDescent="0.3">
      <c r="B47" s="108" t="s">
        <v>15</v>
      </c>
      <c r="C47" s="19"/>
      <c r="D47" s="162">
        <v>388138</v>
      </c>
      <c r="E47" s="163">
        <v>0</v>
      </c>
      <c r="F47" s="163">
        <v>0</v>
      </c>
      <c r="G47" s="196">
        <f>F47</f>
        <v>0</v>
      </c>
      <c r="H47" s="196">
        <f t="shared" ref="H47:J47" si="15">G47</f>
        <v>0</v>
      </c>
      <c r="I47" s="196">
        <f t="shared" si="15"/>
        <v>0</v>
      </c>
      <c r="J47" s="197">
        <f t="shared" si="15"/>
        <v>0</v>
      </c>
      <c r="L47" t="s">
        <v>266</v>
      </c>
    </row>
    <row r="48" spans="2:12" x14ac:dyDescent="0.3">
      <c r="B48" s="108" t="s">
        <v>61</v>
      </c>
      <c r="C48" s="19"/>
      <c r="D48" s="176">
        <f>SUM(D45:D47)</f>
        <v>866050</v>
      </c>
      <c r="E48" s="176">
        <f t="shared" ref="E48:F48" si="16">SUM(E45:E47)</f>
        <v>197660</v>
      </c>
      <c r="F48" s="176">
        <f t="shared" si="16"/>
        <v>366045</v>
      </c>
      <c r="G48" s="196">
        <f ca="1">SUM(G45:G47)</f>
        <v>470580.53337495564</v>
      </c>
      <c r="H48" s="196">
        <f t="shared" ref="H48:J48" ca="1" si="17">SUM(H45:H47)</f>
        <v>592589.31448999641</v>
      </c>
      <c r="I48" s="196">
        <f t="shared" ca="1" si="17"/>
        <v>704893.67150794039</v>
      </c>
      <c r="J48" s="197">
        <f t="shared" ca="1" si="17"/>
        <v>715913.73461761954</v>
      </c>
    </row>
    <row r="49" spans="2:10" x14ac:dyDescent="0.3">
      <c r="B49" s="108"/>
      <c r="C49" s="19"/>
      <c r="D49" s="19"/>
      <c r="E49" s="19"/>
      <c r="F49" s="19"/>
      <c r="G49" s="19"/>
      <c r="H49" s="19"/>
      <c r="I49" s="19"/>
      <c r="J49" s="114"/>
    </row>
    <row r="50" spans="2:10" x14ac:dyDescent="0.3">
      <c r="B50" s="108" t="s">
        <v>62</v>
      </c>
      <c r="C50" s="19"/>
      <c r="D50" s="162">
        <f>D12+D27</f>
        <v>2246800</v>
      </c>
      <c r="E50" s="162">
        <f t="shared" ref="E50" si="18">E12+E27</f>
        <v>1734387</v>
      </c>
      <c r="F50" s="162">
        <f>F12+F27</f>
        <v>1399207</v>
      </c>
      <c r="G50" s="121">
        <f ca="1">G12+G27</f>
        <v>1517593.8572860667</v>
      </c>
      <c r="H50" s="121">
        <f t="shared" ref="H50:J50" ca="1" si="19">H12+H27</f>
        <v>2068740.2310748855</v>
      </c>
      <c r="I50" s="121">
        <f t="shared" ca="1" si="19"/>
        <v>2212221.8122537718</v>
      </c>
      <c r="J50" s="122">
        <f t="shared" ca="1" si="19"/>
        <v>2256601.5052156593</v>
      </c>
    </row>
    <row r="51" spans="2:10" x14ac:dyDescent="0.3">
      <c r="B51" s="146" t="s">
        <v>63</v>
      </c>
      <c r="C51" s="147"/>
      <c r="D51" s="198">
        <f>D36+D42+D48</f>
        <v>2246800</v>
      </c>
      <c r="E51" s="198">
        <f t="shared" ref="E51:F51" si="20">E36+E42+E48</f>
        <v>1734140</v>
      </c>
      <c r="F51" s="198">
        <f t="shared" si="20"/>
        <v>1399207</v>
      </c>
      <c r="G51" s="199">
        <f ca="1">G36+G42+G48</f>
        <v>1517593.8572860667</v>
      </c>
      <c r="H51" s="199">
        <f t="shared" ref="H51:J51" ca="1" si="21">H36+H42+H48</f>
        <v>2068740.2310748855</v>
      </c>
      <c r="I51" s="199">
        <f t="shared" ca="1" si="21"/>
        <v>2212221.8122537713</v>
      </c>
      <c r="J51" s="200">
        <f t="shared" ca="1" si="21"/>
        <v>2256601.5052156588</v>
      </c>
    </row>
    <row r="52" spans="2:10" x14ac:dyDescent="0.3">
      <c r="G52" s="5">
        <f ca="1">G50-G51</f>
        <v>0</v>
      </c>
      <c r="H52" s="5">
        <f t="shared" ref="H52:J52" ca="1" si="22">H50-H51</f>
        <v>0</v>
      </c>
      <c r="I52" s="5">
        <f t="shared" ca="1" si="22"/>
        <v>0</v>
      </c>
      <c r="J52" s="5">
        <f t="shared" ca="1" si="22"/>
        <v>0</v>
      </c>
    </row>
  </sheetData>
  <mergeCells count="2">
    <mergeCell ref="D2:F2"/>
    <mergeCell ref="G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F2398-8AD0-428E-9E2D-81688261B10E}">
  <dimension ref="A2:L68"/>
  <sheetViews>
    <sheetView zoomScale="85" zoomScaleNormal="85" workbookViewId="0">
      <selection activeCell="F33" sqref="F33"/>
    </sheetView>
  </sheetViews>
  <sheetFormatPr defaultRowHeight="14.4" x14ac:dyDescent="0.3"/>
  <cols>
    <col min="1" max="1" width="12.109375" bestFit="1" customWidth="1"/>
    <col min="2" max="2" width="65.109375" bestFit="1" customWidth="1"/>
    <col min="4" max="4" width="11.33203125" bestFit="1" customWidth="1"/>
    <col min="5" max="5" width="10.33203125" bestFit="1" customWidth="1"/>
    <col min="6" max="6" width="11.33203125" bestFit="1" customWidth="1"/>
    <col min="7" max="8" width="11.6640625" bestFit="1" customWidth="1"/>
    <col min="9" max="9" width="12.77734375" bestFit="1" customWidth="1"/>
    <col min="10" max="10" width="11.6640625" bestFit="1" customWidth="1"/>
    <col min="12" max="13" width="0" hidden="1" customWidth="1"/>
  </cols>
  <sheetData>
    <row r="2" spans="2:12" x14ac:dyDescent="0.3">
      <c r="B2" s="112"/>
      <c r="C2" s="113"/>
      <c r="D2" s="262" t="s">
        <v>302</v>
      </c>
      <c r="E2" s="262"/>
      <c r="F2" s="262"/>
      <c r="G2" s="263" t="s">
        <v>303</v>
      </c>
      <c r="H2" s="263"/>
      <c r="I2" s="263"/>
      <c r="J2" s="264"/>
    </row>
    <row r="3" spans="2:12" ht="15" thickBot="1" x14ac:dyDescent="0.35">
      <c r="B3" s="109" t="s">
        <v>304</v>
      </c>
      <c r="C3" s="19"/>
      <c r="D3" s="110" t="s">
        <v>139</v>
      </c>
      <c r="E3" s="110" t="s">
        <v>140</v>
      </c>
      <c r="F3" s="110" t="s">
        <v>141</v>
      </c>
      <c r="G3" s="110" t="s">
        <v>305</v>
      </c>
      <c r="H3" s="110" t="s">
        <v>306</v>
      </c>
      <c r="I3" s="110" t="s">
        <v>307</v>
      </c>
      <c r="J3" s="111" t="s">
        <v>308</v>
      </c>
      <c r="L3" t="s">
        <v>118</v>
      </c>
    </row>
    <row r="4" spans="2:12" x14ac:dyDescent="0.3">
      <c r="B4" s="108"/>
      <c r="C4" s="19" t="s">
        <v>16</v>
      </c>
      <c r="D4" s="156"/>
      <c r="E4" s="156"/>
      <c r="F4" s="156"/>
      <c r="G4" s="156"/>
      <c r="H4" s="156"/>
      <c r="I4" s="156"/>
      <c r="J4" s="157"/>
    </row>
    <row r="5" spans="2:12" x14ac:dyDescent="0.3">
      <c r="B5" s="108" t="s">
        <v>64</v>
      </c>
      <c r="C5" s="19"/>
      <c r="D5" s="19"/>
      <c r="E5" s="19"/>
      <c r="F5" s="19"/>
      <c r="G5" s="19"/>
      <c r="H5" s="19"/>
      <c r="I5" s="19"/>
      <c r="J5" s="114"/>
    </row>
    <row r="6" spans="2:12" x14ac:dyDescent="0.3">
      <c r="B6" s="108" t="s">
        <v>65</v>
      </c>
      <c r="C6" s="19"/>
      <c r="D6" s="158">
        <f>'Income Statement'!D17</f>
        <v>247732</v>
      </c>
      <c r="E6" s="158">
        <f>'Income Statement'!E17</f>
        <v>270541</v>
      </c>
      <c r="F6" s="158">
        <f>'Income Statement'!F17</f>
        <v>357676</v>
      </c>
      <c r="G6" s="158">
        <f>'Income Statement'!G17</f>
        <v>169667.44377500005</v>
      </c>
      <c r="H6" s="158">
        <f>'Income Statement'!H17</f>
        <v>186587.97806925047</v>
      </c>
      <c r="I6" s="158">
        <f>'Income Statement'!I17</f>
        <v>195066.97835009778</v>
      </c>
      <c r="J6" s="159">
        <f>'Income Statement'!J17</f>
        <v>59165.126805264503</v>
      </c>
    </row>
    <row r="7" spans="2:12" x14ac:dyDescent="0.3">
      <c r="B7" s="108" t="s">
        <v>9</v>
      </c>
      <c r="C7" s="19"/>
      <c r="D7" s="158">
        <f>-'Income Statement'!D15</f>
        <v>16587</v>
      </c>
      <c r="E7" s="158">
        <f>-'Income Statement'!E15</f>
        <v>19611</v>
      </c>
      <c r="F7" s="158">
        <f>-'Income Statement'!F15</f>
        <v>21203</v>
      </c>
      <c r="G7" s="160">
        <v>0</v>
      </c>
      <c r="H7" s="160">
        <v>0</v>
      </c>
      <c r="I7" s="160">
        <v>0</v>
      </c>
      <c r="J7" s="161">
        <v>0</v>
      </c>
      <c r="L7" t="s">
        <v>259</v>
      </c>
    </row>
    <row r="8" spans="2:12" x14ac:dyDescent="0.3">
      <c r="B8" s="108" t="s">
        <v>66</v>
      </c>
      <c r="C8" s="19"/>
      <c r="D8" s="123">
        <v>-238</v>
      </c>
      <c r="E8" s="115">
        <v>-1035</v>
      </c>
      <c r="F8" s="115">
        <v>-1750</v>
      </c>
      <c r="G8" s="160">
        <v>0</v>
      </c>
      <c r="H8" s="160">
        <v>0</v>
      </c>
      <c r="I8" s="160">
        <v>0</v>
      </c>
      <c r="J8" s="161">
        <v>0</v>
      </c>
      <c r="L8" t="s">
        <v>259</v>
      </c>
    </row>
    <row r="9" spans="2:12" x14ac:dyDescent="0.3">
      <c r="B9" s="108" t="s">
        <v>67</v>
      </c>
      <c r="C9" s="19"/>
      <c r="D9" s="162">
        <v>-10240</v>
      </c>
      <c r="E9" s="162">
        <v>-12456</v>
      </c>
      <c r="F9" s="162">
        <v>-1181</v>
      </c>
      <c r="G9" s="160">
        <v>0</v>
      </c>
      <c r="H9" s="160">
        <v>0</v>
      </c>
      <c r="I9" s="160">
        <v>0</v>
      </c>
      <c r="J9" s="161">
        <v>0</v>
      </c>
      <c r="L9" t="s">
        <v>182</v>
      </c>
    </row>
    <row r="10" spans="2:12" x14ac:dyDescent="0.3">
      <c r="B10" s="108" t="s">
        <v>68</v>
      </c>
      <c r="C10" s="19"/>
      <c r="D10" s="162">
        <v>1415</v>
      </c>
      <c r="E10" s="162">
        <v>3017</v>
      </c>
      <c r="F10" s="162">
        <v>6612</v>
      </c>
      <c r="G10" s="160">
        <v>0</v>
      </c>
      <c r="H10" s="160">
        <v>0</v>
      </c>
      <c r="I10" s="160">
        <v>0</v>
      </c>
      <c r="J10" s="161">
        <v>0</v>
      </c>
      <c r="L10" t="s">
        <v>182</v>
      </c>
    </row>
    <row r="11" spans="2:12" x14ac:dyDescent="0.3">
      <c r="B11" s="108" t="s">
        <v>69</v>
      </c>
      <c r="C11" s="19"/>
      <c r="D11" s="163">
        <v>0</v>
      </c>
      <c r="E11" s="162">
        <v>2275</v>
      </c>
      <c r="F11" s="163">
        <v>0</v>
      </c>
      <c r="G11" s="160">
        <v>0</v>
      </c>
      <c r="H11" s="160">
        <v>0</v>
      </c>
      <c r="I11" s="160">
        <v>0</v>
      </c>
      <c r="J11" s="161">
        <v>0</v>
      </c>
      <c r="L11" t="s">
        <v>123</v>
      </c>
    </row>
    <row r="12" spans="2:12" x14ac:dyDescent="0.3">
      <c r="B12" s="108" t="s">
        <v>70</v>
      </c>
      <c r="C12" s="19"/>
      <c r="D12" s="163">
        <v>0</v>
      </c>
      <c r="E12" s="162">
        <v>0</v>
      </c>
      <c r="F12" s="163">
        <v>-472</v>
      </c>
      <c r="G12" s="160">
        <v>0</v>
      </c>
      <c r="H12" s="160">
        <v>0</v>
      </c>
      <c r="I12" s="160">
        <v>0</v>
      </c>
      <c r="J12" s="161">
        <v>0</v>
      </c>
      <c r="L12" t="s">
        <v>123</v>
      </c>
    </row>
    <row r="13" spans="2:12" x14ac:dyDescent="0.3">
      <c r="B13" s="108" t="s">
        <v>4</v>
      </c>
      <c r="C13" s="19"/>
      <c r="D13" s="164">
        <f>-'Income Statement'!D10</f>
        <v>0</v>
      </c>
      <c r="E13" s="164">
        <f>-'Income Statement'!E10</f>
        <v>0</v>
      </c>
      <c r="F13" s="164">
        <f>-'Income Statement'!F10</f>
        <v>-162614</v>
      </c>
      <c r="G13" s="160">
        <v>0</v>
      </c>
      <c r="H13" s="160">
        <v>0</v>
      </c>
      <c r="I13" s="160">
        <v>0</v>
      </c>
      <c r="J13" s="161">
        <v>0</v>
      </c>
      <c r="L13" t="s">
        <v>123</v>
      </c>
    </row>
    <row r="14" spans="2:12" x14ac:dyDescent="0.3">
      <c r="B14" s="108" t="s">
        <v>181</v>
      </c>
      <c r="C14" s="19"/>
      <c r="D14" s="158">
        <f>-'Income Statement'!D12</f>
        <v>128995</v>
      </c>
      <c r="E14" s="158">
        <f>-'Income Statement'!E12</f>
        <v>133396</v>
      </c>
      <c r="F14" s="158">
        <f>-'Income Statement'!F12</f>
        <v>147813</v>
      </c>
      <c r="G14" s="116">
        <f>-Depreciation!G8</f>
        <v>152531.81</v>
      </c>
      <c r="H14" s="116">
        <f>-Depreciation!H8</f>
        <v>153760.76609999998</v>
      </c>
      <c r="I14" s="116">
        <f>-Depreciation!I8</f>
        <v>165111.22054099999</v>
      </c>
      <c r="J14" s="117">
        <f>-Depreciation!J8</f>
        <v>328490.08863820997</v>
      </c>
    </row>
    <row r="15" spans="2:12" x14ac:dyDescent="0.3">
      <c r="B15" s="108" t="s">
        <v>72</v>
      </c>
      <c r="C15" s="19"/>
      <c r="D15" s="162">
        <v>11713</v>
      </c>
      <c r="E15" s="162">
        <v>2646</v>
      </c>
      <c r="F15" s="162">
        <v>2070</v>
      </c>
      <c r="G15" s="160">
        <v>0</v>
      </c>
      <c r="H15" s="160">
        <v>0</v>
      </c>
      <c r="I15" s="160">
        <v>0</v>
      </c>
      <c r="J15" s="161">
        <v>0</v>
      </c>
    </row>
    <row r="16" spans="2:12" x14ac:dyDescent="0.3">
      <c r="B16" s="108" t="s">
        <v>73</v>
      </c>
      <c r="C16" s="19"/>
      <c r="D16" s="163">
        <v>-239</v>
      </c>
      <c r="E16" s="163">
        <v>-433</v>
      </c>
      <c r="F16" s="163">
        <v>132</v>
      </c>
      <c r="G16" s="160">
        <v>0</v>
      </c>
      <c r="H16" s="160">
        <v>0</v>
      </c>
      <c r="I16" s="160">
        <v>0</v>
      </c>
      <c r="J16" s="161">
        <v>0</v>
      </c>
      <c r="L16" t="s">
        <v>182</v>
      </c>
    </row>
    <row r="17" spans="1:12" x14ac:dyDescent="0.3">
      <c r="B17" s="165" t="s">
        <v>74</v>
      </c>
      <c r="C17" s="19"/>
      <c r="D17" s="163">
        <v>-981</v>
      </c>
      <c r="E17" s="162">
        <v>-2220</v>
      </c>
      <c r="F17" s="163">
        <v>-24</v>
      </c>
      <c r="G17" s="160">
        <v>0</v>
      </c>
      <c r="H17" s="160">
        <v>0</v>
      </c>
      <c r="I17" s="160">
        <v>0</v>
      </c>
      <c r="J17" s="161">
        <v>0</v>
      </c>
      <c r="L17" t="s">
        <v>182</v>
      </c>
    </row>
    <row r="18" spans="1:12" x14ac:dyDescent="0.3">
      <c r="B18" s="165" t="s">
        <v>75</v>
      </c>
      <c r="C18" s="19"/>
      <c r="D18" s="162">
        <v>-1605</v>
      </c>
      <c r="E18" s="163">
        <v>0</v>
      </c>
      <c r="F18" s="162">
        <v>-1270</v>
      </c>
      <c r="G18" s="160">
        <v>0</v>
      </c>
      <c r="H18" s="160">
        <v>0</v>
      </c>
      <c r="I18" s="160">
        <v>0</v>
      </c>
      <c r="J18" s="161">
        <v>0</v>
      </c>
      <c r="L18" t="s">
        <v>182</v>
      </c>
    </row>
    <row r="19" spans="1:12" x14ac:dyDescent="0.3">
      <c r="B19" s="108" t="s">
        <v>76</v>
      </c>
      <c r="C19" s="19"/>
      <c r="D19" s="162">
        <v>-1883</v>
      </c>
      <c r="E19" s="162">
        <v>-1954</v>
      </c>
      <c r="F19" s="162">
        <v>-1106</v>
      </c>
      <c r="G19" s="160">
        <v>0</v>
      </c>
      <c r="H19" s="160">
        <v>0</v>
      </c>
      <c r="I19" s="160">
        <v>0</v>
      </c>
      <c r="J19" s="161">
        <v>0</v>
      </c>
      <c r="L19" t="s">
        <v>182</v>
      </c>
    </row>
    <row r="20" spans="1:12" x14ac:dyDescent="0.3">
      <c r="B20" s="108" t="s">
        <v>77</v>
      </c>
      <c r="C20" s="19"/>
      <c r="D20" s="163">
        <v>634</v>
      </c>
      <c r="E20" s="163">
        <v>0</v>
      </c>
      <c r="F20" s="162">
        <v>0</v>
      </c>
      <c r="G20" s="160">
        <v>0</v>
      </c>
      <c r="H20" s="160">
        <v>0</v>
      </c>
      <c r="I20" s="160">
        <v>0</v>
      </c>
      <c r="J20" s="161">
        <v>0</v>
      </c>
      <c r="L20" t="s">
        <v>123</v>
      </c>
    </row>
    <row r="21" spans="1:12" x14ac:dyDescent="0.3">
      <c r="B21" s="108" t="s">
        <v>82</v>
      </c>
      <c r="C21" s="19"/>
      <c r="D21" s="163">
        <v>-520</v>
      </c>
      <c r="E21" s="163">
        <v>872</v>
      </c>
      <c r="F21" s="162">
        <v>-18072</v>
      </c>
      <c r="G21" s="158">
        <f>'Operating Working Capital'!G6-'Operating Working Capital'!H6</f>
        <v>6242.4794870833357</v>
      </c>
      <c r="H21" s="158">
        <f>'Operating Working Capital'!H6-'Operating Working Capital'!I6</f>
        <v>-3521.876435904167</v>
      </c>
      <c r="I21" s="158">
        <f>'Operating Working Capital'!I6-'Operating Working Capital'!J6</f>
        <v>-3768.4077864174615</v>
      </c>
      <c r="J21" s="159">
        <f>'Operating Working Capital'!J6-'Operating Working Capital'!K6</f>
        <v>-4032.1963314666791</v>
      </c>
    </row>
    <row r="22" spans="1:12" x14ac:dyDescent="0.3">
      <c r="B22" s="108" t="s">
        <v>83</v>
      </c>
      <c r="C22" s="19"/>
      <c r="D22" s="162">
        <v>-1260</v>
      </c>
      <c r="E22" s="162">
        <v>-10898</v>
      </c>
      <c r="F22" s="163">
        <v>392</v>
      </c>
      <c r="G22" s="158">
        <f>'Operating Working Capital'!G8-'Operating Working Capital'!H8</f>
        <v>117.35161111111302</v>
      </c>
      <c r="H22" s="158">
        <f>'Operating Working Capital'!H8-'Operating Working Capital'!I8</f>
        <v>-1300.7853872222258</v>
      </c>
      <c r="I22" s="158">
        <f>'Operating Working Capital'!I8-'Operating Working Capital'!J8</f>
        <v>-1391.8403643277779</v>
      </c>
      <c r="J22" s="159">
        <f>'Operating Working Capital'!J8-'Operating Working Capital'!K8</f>
        <v>-1489.2691898307239</v>
      </c>
    </row>
    <row r="23" spans="1:12" x14ac:dyDescent="0.3">
      <c r="B23" s="108" t="s">
        <v>84</v>
      </c>
      <c r="C23" s="19"/>
      <c r="D23" s="163">
        <v>806</v>
      </c>
      <c r="E23" s="162">
        <v>-47118</v>
      </c>
      <c r="F23" s="162">
        <v>-13160</v>
      </c>
      <c r="G23" s="158">
        <f>'Operating Working Capital'!G10-'Operating Working Capital'!H10</f>
        <v>5703.3356788541714</v>
      </c>
      <c r="H23" s="158">
        <f>'Operating Working Capital'!H10-'Operating Working Capital'!I10</f>
        <v>-6275.4765024802182</v>
      </c>
      <c r="I23" s="158">
        <f>'Operating Working Capital'!I10-'Operating Working Capital'!J10</f>
        <v>-6714.7598576538148</v>
      </c>
      <c r="J23" s="159">
        <f>'Operating Working Capital'!J10-'Operating Working Capital'!K10</f>
        <v>-7184.7930476895854</v>
      </c>
    </row>
    <row r="24" spans="1:12" x14ac:dyDescent="0.3">
      <c r="B24" s="108" t="s">
        <v>85</v>
      </c>
      <c r="C24" s="19"/>
      <c r="D24" s="162">
        <v>3722</v>
      </c>
      <c r="E24" s="163">
        <v>-772</v>
      </c>
      <c r="F24" s="162">
        <v>1556</v>
      </c>
      <c r="G24" s="160">
        <v>0</v>
      </c>
      <c r="H24" s="160">
        <v>0</v>
      </c>
      <c r="I24" s="160">
        <v>0</v>
      </c>
      <c r="J24" s="161">
        <v>0</v>
      </c>
      <c r="L24" t="s">
        <v>180</v>
      </c>
    </row>
    <row r="25" spans="1:12" x14ac:dyDescent="0.3">
      <c r="B25" s="108" t="s">
        <v>86</v>
      </c>
      <c r="C25" s="19"/>
      <c r="D25" s="162">
        <v>-146033</v>
      </c>
      <c r="E25" s="162">
        <v>-160998</v>
      </c>
      <c r="F25" s="162">
        <v>237577</v>
      </c>
      <c r="G25" s="160">
        <v>0</v>
      </c>
      <c r="H25" s="160">
        <v>0</v>
      </c>
      <c r="I25" s="160">
        <v>0</v>
      </c>
      <c r="J25" s="161">
        <v>0</v>
      </c>
      <c r="L25" t="s">
        <v>180</v>
      </c>
    </row>
    <row r="26" spans="1:12" x14ac:dyDescent="0.3">
      <c r="B26" s="108" t="s">
        <v>87</v>
      </c>
      <c r="C26" s="19"/>
      <c r="D26" s="163">
        <v>428</v>
      </c>
      <c r="E26" s="162">
        <v>11722</v>
      </c>
      <c r="F26" s="162">
        <v>11158</v>
      </c>
      <c r="G26" s="160">
        <v>0</v>
      </c>
      <c r="H26" s="160">
        <v>0</v>
      </c>
      <c r="I26" s="160">
        <v>0</v>
      </c>
      <c r="J26" s="161">
        <v>0</v>
      </c>
      <c r="L26" t="s">
        <v>180</v>
      </c>
    </row>
    <row r="27" spans="1:12" x14ac:dyDescent="0.3">
      <c r="B27" s="165" t="s">
        <v>88</v>
      </c>
      <c r="C27" s="19"/>
      <c r="D27" s="162">
        <v>-15102</v>
      </c>
      <c r="E27" s="162">
        <v>14782</v>
      </c>
      <c r="F27" s="162">
        <v>-1710</v>
      </c>
      <c r="G27" s="158">
        <f>'Operating Working Capital'!H14-'Operating Working Capital'!G14</f>
        <v>13989.287584583333</v>
      </c>
      <c r="H27" s="158">
        <f>'Operating Working Capital'!I14-'Operating Working Capital'!H14</f>
        <v>8712.0101309208258</v>
      </c>
      <c r="I27" s="158">
        <f>'Operating Working Capital'!J14-'Operating Working Capital'!I14</f>
        <v>9321.8508400852734</v>
      </c>
      <c r="J27" s="159">
        <f>'Operating Working Capital'!K14-'Operating Working Capital'!J14</f>
        <v>9974.3803988912841</v>
      </c>
    </row>
    <row r="28" spans="1:12" x14ac:dyDescent="0.3">
      <c r="B28" s="165" t="s">
        <v>89</v>
      </c>
      <c r="C28" s="19"/>
      <c r="D28" s="162">
        <v>-17645</v>
      </c>
      <c r="E28" s="162">
        <v>494</v>
      </c>
      <c r="F28" s="162">
        <v>20017</v>
      </c>
      <c r="G28" s="158">
        <f>'Operating Working Capital'!H16-'Operating Working Capital'!G16</f>
        <v>2916.2738195833226</v>
      </c>
      <c r="H28" s="158">
        <f>'Operating Working Capital'!I16-'Operating Working Capital'!H16</f>
        <v>15385.039167370851</v>
      </c>
      <c r="I28" s="158">
        <f>'Operating Working Capital'!J16-'Operating Working Capital'!I16</f>
        <v>16461.991909086792</v>
      </c>
      <c r="J28" s="159">
        <f>'Operating Working Capital'!K16-'Operating Working Capital'!J16</f>
        <v>17614.331342722842</v>
      </c>
    </row>
    <row r="29" spans="1:12" x14ac:dyDescent="0.3">
      <c r="B29" s="108" t="s">
        <v>90</v>
      </c>
      <c r="C29" s="19"/>
      <c r="D29" s="162">
        <v>4168</v>
      </c>
      <c r="E29" s="162">
        <v>12141</v>
      </c>
      <c r="F29" s="162">
        <v>13451</v>
      </c>
      <c r="G29" s="158">
        <f>'Operating Working Capital'!H18-'Operating Working Capital'!G18</f>
        <v>-3054.2374930555525</v>
      </c>
      <c r="H29" s="158">
        <f>'Operating Working Capital'!I18-'Operating Working Capital'!H18</f>
        <v>5040.5433754861151</v>
      </c>
      <c r="I29" s="158">
        <f>'Operating Working Capital'!J18-'Operating Working Capital'!I18</f>
        <v>5393.3814117701404</v>
      </c>
      <c r="J29" s="159">
        <f>'Operating Working Capital'!K18-'Operating Working Capital'!J18</f>
        <v>5770.9181105940515</v>
      </c>
    </row>
    <row r="30" spans="1:12" x14ac:dyDescent="0.3">
      <c r="B30" s="108" t="s">
        <v>91</v>
      </c>
      <c r="C30" s="19"/>
      <c r="D30" s="162">
        <f>SUM(D6:D29)</f>
        <v>220454</v>
      </c>
      <c r="E30" s="162">
        <f t="shared" ref="E30:J30" si="0">SUM(E6:E29)</f>
        <v>233613</v>
      </c>
      <c r="F30" s="162">
        <f t="shared" si="0"/>
        <v>618298</v>
      </c>
      <c r="G30" s="121">
        <f>SUM(G6:G29)</f>
        <v>348113.74446315982</v>
      </c>
      <c r="H30" s="121">
        <f t="shared" si="0"/>
        <v>358388.19851742167</v>
      </c>
      <c r="I30" s="121">
        <f t="shared" si="0"/>
        <v>379480.415043641</v>
      </c>
      <c r="J30" s="122">
        <f t="shared" si="0"/>
        <v>408308.58672669565</v>
      </c>
    </row>
    <row r="31" spans="1:12" x14ac:dyDescent="0.3">
      <c r="B31" s="134" t="s">
        <v>183</v>
      </c>
      <c r="C31" s="120"/>
      <c r="D31" s="162">
        <v>-48471</v>
      </c>
      <c r="E31" s="162">
        <v>-47948</v>
      </c>
      <c r="F31" s="162">
        <v>-71959</v>
      </c>
      <c r="G31" s="116">
        <f>'Income Statement'!G21</f>
        <v>-33933.488755000013</v>
      </c>
      <c r="H31" s="116">
        <f>'Income Statement'!H21</f>
        <v>-37317.595613850099</v>
      </c>
      <c r="I31" s="116">
        <f>'Income Statement'!I21</f>
        <v>-39013.395670019556</v>
      </c>
      <c r="J31" s="117">
        <f>'Income Statement'!J21</f>
        <v>-11833.025361052902</v>
      </c>
      <c r="L31" s="65" t="s">
        <v>263</v>
      </c>
    </row>
    <row r="32" spans="1:12" x14ac:dyDescent="0.3">
      <c r="A32" s="6"/>
      <c r="B32" s="108" t="s">
        <v>92</v>
      </c>
      <c r="C32" s="19"/>
      <c r="D32" s="162">
        <f>SUM(D30:D31)</f>
        <v>171983</v>
      </c>
      <c r="E32" s="162">
        <f t="shared" ref="E32:J32" si="1">SUM(E30:E31)</f>
        <v>185665</v>
      </c>
      <c r="F32" s="162">
        <f t="shared" si="1"/>
        <v>546339</v>
      </c>
      <c r="G32" s="121">
        <f>SUM(G30:G31)</f>
        <v>314180.25570815982</v>
      </c>
      <c r="H32" s="121">
        <f t="shared" si="1"/>
        <v>321070.60290357156</v>
      </c>
      <c r="I32" s="121">
        <f t="shared" si="1"/>
        <v>340467.01937362144</v>
      </c>
      <c r="J32" s="122">
        <f t="shared" si="1"/>
        <v>396475.56136564276</v>
      </c>
    </row>
    <row r="33" spans="1:12" x14ac:dyDescent="0.3">
      <c r="B33" s="108"/>
      <c r="C33" s="19"/>
      <c r="D33" s="19"/>
      <c r="E33" s="19"/>
      <c r="F33" s="19"/>
      <c r="G33" s="19"/>
      <c r="H33" s="19"/>
      <c r="I33" s="19"/>
      <c r="J33" s="114"/>
    </row>
    <row r="34" spans="1:12" x14ac:dyDescent="0.3">
      <c r="B34" s="108" t="s">
        <v>93</v>
      </c>
      <c r="C34" s="19"/>
      <c r="D34" s="19" t="s">
        <v>262</v>
      </c>
      <c r="E34" s="19"/>
      <c r="F34" s="19"/>
      <c r="G34" s="19"/>
      <c r="H34" s="19"/>
      <c r="I34" s="19"/>
      <c r="J34" s="114"/>
    </row>
    <row r="35" spans="1:12" x14ac:dyDescent="0.3">
      <c r="B35" s="108" t="s">
        <v>94</v>
      </c>
      <c r="C35" s="19"/>
      <c r="D35" s="162">
        <v>10478</v>
      </c>
      <c r="E35" s="162">
        <v>13491</v>
      </c>
      <c r="F35" s="162">
        <v>2931</v>
      </c>
      <c r="G35" s="166">
        <f ca="1">'Debt Schedule'!H32</f>
        <v>3041.5291703155772</v>
      </c>
      <c r="H35" s="166">
        <f ca="1">'Debt Schedule'!I32</f>
        <v>6062.9833484472147</v>
      </c>
      <c r="I35" s="166">
        <f ca="1">'Debt Schedule'!J32</f>
        <v>4823.1173248207106</v>
      </c>
      <c r="J35" s="167">
        <f ca="1">'Debt Schedule'!K32</f>
        <v>1753.2385686991393</v>
      </c>
      <c r="L35" t="s">
        <v>121</v>
      </c>
    </row>
    <row r="36" spans="1:12" x14ac:dyDescent="0.3">
      <c r="B36" s="108" t="s">
        <v>95</v>
      </c>
      <c r="C36" s="19"/>
      <c r="D36" s="162">
        <v>-230675</v>
      </c>
      <c r="E36" s="162">
        <v>-297304</v>
      </c>
      <c r="F36" s="162">
        <v>-222079</v>
      </c>
      <c r="G36" s="158">
        <f>Depreciation!G6</f>
        <v>-159000</v>
      </c>
      <c r="H36" s="158">
        <f>Depreciation!H6</f>
        <v>-213500</v>
      </c>
      <c r="I36" s="158">
        <f>Depreciation!I6</f>
        <v>-1025000</v>
      </c>
      <c r="J36" s="159">
        <f>Depreciation!J6</f>
        <v>-245857.06796691183</v>
      </c>
    </row>
    <row r="37" spans="1:12" x14ac:dyDescent="0.3">
      <c r="B37" s="108" t="s">
        <v>96</v>
      </c>
      <c r="C37" s="19"/>
      <c r="D37" s="163">
        <v>-777</v>
      </c>
      <c r="E37" s="163">
        <v>0</v>
      </c>
      <c r="F37" s="163">
        <v>0</v>
      </c>
      <c r="G37" s="160">
        <v>0</v>
      </c>
      <c r="H37" s="160">
        <v>0</v>
      </c>
      <c r="I37" s="160">
        <v>0</v>
      </c>
      <c r="J37" s="161">
        <v>0</v>
      </c>
      <c r="L37" t="s">
        <v>123</v>
      </c>
    </row>
    <row r="38" spans="1:12" x14ac:dyDescent="0.3">
      <c r="B38" s="108" t="s">
        <v>97</v>
      </c>
      <c r="C38" s="19"/>
      <c r="D38" s="162">
        <v>5686</v>
      </c>
      <c r="E38" s="162">
        <v>16037</v>
      </c>
      <c r="F38" s="162">
        <v>4759</v>
      </c>
      <c r="G38" s="160">
        <v>0</v>
      </c>
      <c r="H38" s="160">
        <v>0</v>
      </c>
      <c r="I38" s="160">
        <v>0</v>
      </c>
      <c r="J38" s="161">
        <v>0</v>
      </c>
      <c r="L38" t="s">
        <v>182</v>
      </c>
    </row>
    <row r="39" spans="1:12" x14ac:dyDescent="0.3">
      <c r="B39" s="108" t="s">
        <v>98</v>
      </c>
      <c r="C39" s="19"/>
      <c r="D39" s="163">
        <v>0</v>
      </c>
      <c r="E39" s="162">
        <v>51225</v>
      </c>
      <c r="F39" s="163">
        <v>0</v>
      </c>
      <c r="G39" s="160">
        <v>0</v>
      </c>
      <c r="H39" s="160">
        <v>0</v>
      </c>
      <c r="I39" s="160">
        <v>0</v>
      </c>
      <c r="J39" s="161">
        <v>0</v>
      </c>
      <c r="L39" t="s">
        <v>123</v>
      </c>
    </row>
    <row r="40" spans="1:12" x14ac:dyDescent="0.3">
      <c r="B40" s="108" t="s">
        <v>99</v>
      </c>
      <c r="C40" s="19"/>
      <c r="D40" s="163">
        <v>0</v>
      </c>
      <c r="E40" s="162">
        <v>3830</v>
      </c>
      <c r="F40" s="163">
        <v>0</v>
      </c>
      <c r="G40" s="160">
        <v>0</v>
      </c>
      <c r="H40" s="160">
        <v>0</v>
      </c>
      <c r="I40" s="160">
        <v>0</v>
      </c>
      <c r="J40" s="161">
        <v>0</v>
      </c>
      <c r="L40" t="s">
        <v>123</v>
      </c>
    </row>
    <row r="41" spans="1:12" x14ac:dyDescent="0.3">
      <c r="B41" s="108" t="s">
        <v>100</v>
      </c>
      <c r="C41" s="19"/>
      <c r="D41" s="163">
        <v>0</v>
      </c>
      <c r="E41" s="163">
        <v>0</v>
      </c>
      <c r="F41" s="162">
        <v>57701</v>
      </c>
      <c r="G41" s="160">
        <v>0</v>
      </c>
      <c r="H41" s="160">
        <v>0</v>
      </c>
      <c r="I41" s="160">
        <v>0</v>
      </c>
      <c r="J41" s="161">
        <v>0</v>
      </c>
      <c r="L41" t="s">
        <v>182</v>
      </c>
    </row>
    <row r="42" spans="1:12" x14ac:dyDescent="0.3">
      <c r="B42" s="108" t="s">
        <v>101</v>
      </c>
      <c r="C42" s="19"/>
      <c r="D42" s="163">
        <v>0</v>
      </c>
      <c r="E42" s="163">
        <v>0</v>
      </c>
      <c r="F42" s="162">
        <v>9560</v>
      </c>
      <c r="G42" s="160">
        <v>0</v>
      </c>
      <c r="H42" s="160">
        <v>0</v>
      </c>
      <c r="I42" s="160">
        <v>0</v>
      </c>
      <c r="J42" s="161">
        <v>0</v>
      </c>
      <c r="L42" t="s">
        <v>182</v>
      </c>
    </row>
    <row r="43" spans="1:12" x14ac:dyDescent="0.3">
      <c r="B43" s="108" t="s">
        <v>102</v>
      </c>
      <c r="C43" s="19"/>
      <c r="D43" s="163">
        <v>0</v>
      </c>
      <c r="E43" s="163">
        <v>0</v>
      </c>
      <c r="F43" s="162">
        <v>206474</v>
      </c>
      <c r="G43" s="160">
        <v>0</v>
      </c>
      <c r="H43" s="160">
        <v>0</v>
      </c>
      <c r="I43" s="160">
        <v>0</v>
      </c>
      <c r="J43" s="161">
        <v>0</v>
      </c>
      <c r="L43" t="s">
        <v>123</v>
      </c>
    </row>
    <row r="44" spans="1:12" x14ac:dyDescent="0.3">
      <c r="B44" s="108" t="s">
        <v>103</v>
      </c>
      <c r="C44" s="19"/>
      <c r="D44" s="162">
        <v>-7273</v>
      </c>
      <c r="E44" s="163">
        <v>0</v>
      </c>
      <c r="F44" s="163">
        <v>0</v>
      </c>
      <c r="G44" s="160">
        <v>0</v>
      </c>
      <c r="H44" s="160">
        <v>0</v>
      </c>
      <c r="I44" s="160">
        <v>0</v>
      </c>
      <c r="J44" s="161">
        <v>0</v>
      </c>
      <c r="L44" t="s">
        <v>123</v>
      </c>
    </row>
    <row r="45" spans="1:12" x14ac:dyDescent="0.3">
      <c r="B45" s="108" t="s">
        <v>104</v>
      </c>
      <c r="C45" s="19"/>
      <c r="D45" s="163">
        <v>-624</v>
      </c>
      <c r="E45" s="163">
        <v>-260</v>
      </c>
      <c r="F45" s="163">
        <v>0</v>
      </c>
      <c r="G45" s="160">
        <v>0</v>
      </c>
      <c r="H45" s="160">
        <v>0</v>
      </c>
      <c r="I45" s="160">
        <v>0</v>
      </c>
      <c r="J45" s="161">
        <v>0</v>
      </c>
      <c r="L45" t="s">
        <v>123</v>
      </c>
    </row>
    <row r="46" spans="1:12" x14ac:dyDescent="0.3">
      <c r="B46" s="108" t="s">
        <v>105</v>
      </c>
      <c r="C46" s="19"/>
      <c r="D46" s="163">
        <v>0</v>
      </c>
      <c r="E46" s="162">
        <v>-56878</v>
      </c>
      <c r="F46" s="163">
        <v>0</v>
      </c>
      <c r="G46" s="160">
        <v>0</v>
      </c>
      <c r="H46" s="160">
        <v>0</v>
      </c>
      <c r="I46" s="160">
        <v>0</v>
      </c>
      <c r="J46" s="161">
        <v>0</v>
      </c>
      <c r="L46" t="s">
        <v>123</v>
      </c>
    </row>
    <row r="47" spans="1:12" x14ac:dyDescent="0.3">
      <c r="B47" s="108" t="s">
        <v>106</v>
      </c>
      <c r="C47" s="19"/>
      <c r="D47" s="162">
        <v>-47486</v>
      </c>
      <c r="E47" s="163">
        <v>0</v>
      </c>
      <c r="F47" s="163">
        <v>0</v>
      </c>
      <c r="G47" s="160">
        <v>0</v>
      </c>
      <c r="H47" s="160">
        <v>0</v>
      </c>
      <c r="I47" s="160">
        <v>0</v>
      </c>
      <c r="J47" s="161">
        <v>0</v>
      </c>
      <c r="L47" t="s">
        <v>123</v>
      </c>
    </row>
    <row r="48" spans="1:12" x14ac:dyDescent="0.3">
      <c r="A48" s="6"/>
      <c r="B48" s="108" t="s">
        <v>107</v>
      </c>
      <c r="C48" s="19"/>
      <c r="D48" s="162">
        <f>SUM(D35:D47)</f>
        <v>-270671</v>
      </c>
      <c r="E48" s="162">
        <f t="shared" ref="E48:F48" si="2">SUM(E35:E47)</f>
        <v>-269859</v>
      </c>
      <c r="F48" s="162">
        <f t="shared" si="2"/>
        <v>59346</v>
      </c>
      <c r="G48" s="116">
        <f ca="1">SUM(G35:G47)</f>
        <v>-155958.47082968443</v>
      </c>
      <c r="H48" s="116">
        <f t="shared" ref="H48:J48" ca="1" si="3">SUM(H35:H47)</f>
        <v>-207437.01665155278</v>
      </c>
      <c r="I48" s="116">
        <f t="shared" ca="1" si="3"/>
        <v>-1020176.8826751793</v>
      </c>
      <c r="J48" s="117">
        <f t="shared" ca="1" si="3"/>
        <v>-244103.82939821269</v>
      </c>
    </row>
    <row r="49" spans="1:12" x14ac:dyDescent="0.3">
      <c r="B49" s="108"/>
      <c r="C49" s="19"/>
      <c r="D49" s="19"/>
      <c r="E49" s="19"/>
      <c r="F49" s="19"/>
      <c r="G49" s="19"/>
      <c r="H49" s="19"/>
      <c r="I49" s="19"/>
      <c r="J49" s="114"/>
    </row>
    <row r="50" spans="1:12" x14ac:dyDescent="0.3">
      <c r="B50" s="165" t="s">
        <v>108</v>
      </c>
      <c r="C50" s="19"/>
      <c r="D50" s="19" t="s">
        <v>262</v>
      </c>
      <c r="E50" s="19"/>
      <c r="F50" s="19"/>
      <c r="G50" s="19"/>
      <c r="H50" s="19"/>
      <c r="I50" s="19"/>
      <c r="J50" s="114"/>
    </row>
    <row r="51" spans="1:12" x14ac:dyDescent="0.3">
      <c r="B51" s="108" t="s">
        <v>109</v>
      </c>
      <c r="C51" s="19"/>
      <c r="D51" s="163">
        <v>0</v>
      </c>
      <c r="E51" s="163">
        <v>1</v>
      </c>
      <c r="F51" s="163">
        <v>0</v>
      </c>
      <c r="G51" s="160">
        <v>0</v>
      </c>
      <c r="H51" s="160">
        <v>0</v>
      </c>
      <c r="I51" s="160">
        <v>0</v>
      </c>
      <c r="J51" s="161">
        <v>0</v>
      </c>
      <c r="L51" t="s">
        <v>123</v>
      </c>
    </row>
    <row r="52" spans="1:12" x14ac:dyDescent="0.3">
      <c r="B52" s="108" t="s">
        <v>185</v>
      </c>
      <c r="C52" s="19"/>
      <c r="D52" s="162">
        <v>145286</v>
      </c>
      <c r="E52" s="162">
        <v>129540</v>
      </c>
      <c r="F52" s="162">
        <v>-482019</v>
      </c>
      <c r="G52" s="164">
        <f>'Debt Schedule'!H27</f>
        <v>0</v>
      </c>
      <c r="H52" s="164">
        <f>'Debt Schedule'!I27</f>
        <v>400000</v>
      </c>
      <c r="I52" s="164">
        <f>'Debt Schedule'!J27</f>
        <v>0</v>
      </c>
      <c r="J52" s="168">
        <f>'Debt Schedule'!K27</f>
        <v>0</v>
      </c>
      <c r="L52" t="s">
        <v>121</v>
      </c>
    </row>
    <row r="53" spans="1:12" x14ac:dyDescent="0.3">
      <c r="B53" s="108" t="s">
        <v>110</v>
      </c>
      <c r="C53" s="19"/>
      <c r="D53" s="163">
        <v>-244</v>
      </c>
      <c r="E53" s="163">
        <v>0</v>
      </c>
      <c r="F53" s="163">
        <v>0</v>
      </c>
      <c r="G53" s="160">
        <v>0</v>
      </c>
      <c r="H53" s="160">
        <v>0</v>
      </c>
      <c r="I53" s="160">
        <v>0</v>
      </c>
      <c r="J53" s="161">
        <v>0</v>
      </c>
      <c r="L53" t="s">
        <v>123</v>
      </c>
    </row>
    <row r="54" spans="1:12" x14ac:dyDescent="0.3">
      <c r="B54" s="108" t="s">
        <v>111</v>
      </c>
      <c r="C54" s="19"/>
      <c r="D54" s="162">
        <v>-16587</v>
      </c>
      <c r="E54" s="162">
        <v>-19611</v>
      </c>
      <c r="F54" s="162">
        <v>-21203</v>
      </c>
      <c r="G54" s="169">
        <f>-'Debt Schedule'!H29</f>
        <v>-20650.609</v>
      </c>
      <c r="H54" s="169">
        <f>-'Debt Schedule'!I29</f>
        <v>-26500.609</v>
      </c>
      <c r="I54" s="169">
        <f>-'Debt Schedule'!J29</f>
        <v>-32350.609000000004</v>
      </c>
      <c r="J54" s="170">
        <f>-'Debt Schedule'!K29</f>
        <v>-32350.609000000004</v>
      </c>
      <c r="L54" t="s">
        <v>121</v>
      </c>
    </row>
    <row r="55" spans="1:12" x14ac:dyDescent="0.3">
      <c r="B55" s="108" t="s">
        <v>112</v>
      </c>
      <c r="C55" s="19"/>
      <c r="D55" s="162">
        <v>-14000</v>
      </c>
      <c r="E55" s="162">
        <v>-15400</v>
      </c>
      <c r="F55" s="162">
        <v>-20000</v>
      </c>
      <c r="G55" s="116">
        <f>-G56*'Income Statement'!G37</f>
        <v>-9779.3418153600032</v>
      </c>
      <c r="H55" s="116">
        <f>-H56*'Income Statement'!H37</f>
        <v>-8678.9756888068241</v>
      </c>
      <c r="I55" s="116">
        <f>-I56*'Income Statement'!I37</f>
        <v>-11238.73398695488</v>
      </c>
      <c r="J55" s="117">
        <f>-J56*'Income Statement'!J37</f>
        <v>-1904.6679032314742</v>
      </c>
      <c r="L55" t="s">
        <v>132</v>
      </c>
    </row>
    <row r="56" spans="1:12" x14ac:dyDescent="0.3">
      <c r="A56" s="14"/>
      <c r="B56" s="134" t="s">
        <v>260</v>
      </c>
      <c r="C56" s="17"/>
      <c r="D56" s="171">
        <f>-D55/'Income Statement'!D37</f>
        <v>6.3123058402355395E-2</v>
      </c>
      <c r="E56" s="171">
        <f>-E55/'Income Statement'!E37</f>
        <v>6.9055508970489982E-2</v>
      </c>
      <c r="F56" s="172">
        <f>-F55/'Income Statement'!F37</f>
        <v>6.8732065226729894E-2</v>
      </c>
      <c r="G56" s="173">
        <v>6.5000000000000002E-2</v>
      </c>
      <c r="H56" s="173">
        <v>6.5000000000000002E-2</v>
      </c>
      <c r="I56" s="173">
        <v>6.5000000000000002E-2</v>
      </c>
      <c r="J56" s="174">
        <v>6.5000000000000002E-2</v>
      </c>
    </row>
    <row r="57" spans="1:12" x14ac:dyDescent="0.3">
      <c r="A57" s="6"/>
      <c r="B57" s="134" t="s">
        <v>113</v>
      </c>
      <c r="C57" s="17"/>
      <c r="D57" s="175">
        <f>SUM(D51:D55)</f>
        <v>114455</v>
      </c>
      <c r="E57" s="175">
        <f t="shared" ref="E57:J57" si="4">SUM(E51:E55)</f>
        <v>94530</v>
      </c>
      <c r="F57" s="176">
        <f t="shared" si="4"/>
        <v>-523222</v>
      </c>
      <c r="G57" s="116">
        <f>SUM(G51:G55)</f>
        <v>-30429.950815360004</v>
      </c>
      <c r="H57" s="116">
        <f t="shared" si="4"/>
        <v>364820.41531119315</v>
      </c>
      <c r="I57" s="116">
        <f t="shared" si="4"/>
        <v>-43589.342986954885</v>
      </c>
      <c r="J57" s="117">
        <f t="shared" si="4"/>
        <v>-34255.276903231475</v>
      </c>
    </row>
    <row r="58" spans="1:12" x14ac:dyDescent="0.3">
      <c r="A58" s="14"/>
      <c r="B58" s="177"/>
      <c r="C58" s="17"/>
      <c r="D58" s="17"/>
      <c r="E58" s="17"/>
      <c r="F58" s="19"/>
      <c r="G58" s="19"/>
      <c r="H58" s="19"/>
      <c r="I58" s="19"/>
      <c r="J58" s="114"/>
    </row>
    <row r="59" spans="1:12" x14ac:dyDescent="0.3">
      <c r="A59" s="14"/>
      <c r="B59" s="177" t="s">
        <v>114</v>
      </c>
      <c r="C59" s="17"/>
      <c r="D59" s="178"/>
      <c r="E59" s="178"/>
      <c r="F59" s="179"/>
      <c r="G59" s="180">
        <f ca="1">G32+G48+G57</f>
        <v>127791.83406311538</v>
      </c>
      <c r="H59" s="180">
        <f ca="1">H32+H48+H57</f>
        <v>478454.0015632119</v>
      </c>
      <c r="I59" s="180">
        <f ca="1">I32+I48+I57</f>
        <v>-723299.20628851268</v>
      </c>
      <c r="J59" s="181">
        <f t="shared" ref="J59" ca="1" si="5">J32+J48+J57</f>
        <v>118116.45506419858</v>
      </c>
    </row>
    <row r="60" spans="1:12" x14ac:dyDescent="0.3">
      <c r="A60" s="14"/>
      <c r="B60" s="177" t="s">
        <v>115</v>
      </c>
      <c r="C60" s="17"/>
      <c r="D60" s="182"/>
      <c r="E60" s="183"/>
      <c r="F60" s="163"/>
      <c r="G60" s="125">
        <f>F62</f>
        <v>242162</v>
      </c>
      <c r="H60" s="125">
        <f ca="1">G62</f>
        <v>366143.83406311541</v>
      </c>
      <c r="I60" s="125">
        <f t="shared" ref="I60:J60" ca="1" si="6">H62</f>
        <v>846452.83562632732</v>
      </c>
      <c r="J60" s="126">
        <f t="shared" ca="1" si="6"/>
        <v>118170.62933781464</v>
      </c>
    </row>
    <row r="61" spans="1:12" x14ac:dyDescent="0.3">
      <c r="A61" s="14"/>
      <c r="B61" s="177" t="s">
        <v>116</v>
      </c>
      <c r="C61" s="17"/>
      <c r="D61" s="182">
        <v>-3810</v>
      </c>
      <c r="E61" s="182">
        <v>1855</v>
      </c>
      <c r="F61" s="162">
        <v>-4983</v>
      </c>
      <c r="G61" s="120">
        <f>D61</f>
        <v>-3810</v>
      </c>
      <c r="H61" s="120">
        <f t="shared" ref="H61:J61" si="7">E61</f>
        <v>1855</v>
      </c>
      <c r="I61" s="120">
        <f t="shared" si="7"/>
        <v>-4983</v>
      </c>
      <c r="J61" s="128">
        <f t="shared" si="7"/>
        <v>-3810</v>
      </c>
      <c r="L61" t="s">
        <v>184</v>
      </c>
    </row>
    <row r="62" spans="1:12" x14ac:dyDescent="0.3">
      <c r="A62" s="14"/>
      <c r="B62" s="184" t="s">
        <v>117</v>
      </c>
      <c r="C62" s="141"/>
      <c r="D62" s="185"/>
      <c r="E62" s="185"/>
      <c r="F62" s="186">
        <f>'Balance Sheet'!F25</f>
        <v>242162</v>
      </c>
      <c r="G62" s="187">
        <f ca="1">SUM(G59:G61)</f>
        <v>366143.83406311541</v>
      </c>
      <c r="H62" s="187">
        <f ca="1">SUM(H59:H61)</f>
        <v>846452.83562632732</v>
      </c>
      <c r="I62" s="187">
        <f t="shared" ref="I62" ca="1" si="8">SUM(I59:I61)</f>
        <v>118170.62933781464</v>
      </c>
      <c r="J62" s="188">
        <f ca="1">SUM(J59:J61)</f>
        <v>232477.08440201322</v>
      </c>
    </row>
    <row r="63" spans="1:12" x14ac:dyDescent="0.3">
      <c r="A63" s="14"/>
      <c r="B63" s="15"/>
      <c r="C63" s="14"/>
      <c r="D63" s="16"/>
      <c r="E63" s="16"/>
      <c r="F63" s="2"/>
    </row>
    <row r="64" spans="1:12" x14ac:dyDescent="0.3">
      <c r="A64" s="14"/>
      <c r="B64" s="189" t="s">
        <v>209</v>
      </c>
      <c r="C64" s="190"/>
      <c r="D64" s="191"/>
      <c r="E64" s="191"/>
      <c r="F64" s="192"/>
      <c r="G64" s="113"/>
      <c r="H64" s="113"/>
      <c r="I64" s="113"/>
      <c r="J64" s="145"/>
    </row>
    <row r="65" spans="1:10" x14ac:dyDescent="0.3">
      <c r="A65" s="17"/>
      <c r="B65" s="193" t="s">
        <v>194</v>
      </c>
      <c r="C65" s="141"/>
      <c r="D65" s="143"/>
      <c r="E65" s="143"/>
      <c r="F65" s="194"/>
      <c r="G65" s="143">
        <f ca="1">G32+G48+G51+G54+G55+G61</f>
        <v>123981.83406311538</v>
      </c>
      <c r="H65" s="143">
        <f t="shared" ref="H65:J65" ca="1" si="9">H32+H48+H51+H54+H55+H61</f>
        <v>80309.001563211961</v>
      </c>
      <c r="I65" s="143">
        <f t="shared" ca="1" si="9"/>
        <v>-728282.2062885128</v>
      </c>
      <c r="J65" s="144">
        <f t="shared" ca="1" si="9"/>
        <v>114306.4550641986</v>
      </c>
    </row>
    <row r="66" spans="1:10" x14ac:dyDescent="0.3">
      <c r="A66" s="17"/>
      <c r="B66" s="18"/>
      <c r="C66" s="17"/>
      <c r="D66" s="16"/>
      <c r="E66" s="16"/>
      <c r="F66" s="2"/>
    </row>
    <row r="67" spans="1:10" x14ac:dyDescent="0.3">
      <c r="A67" s="17"/>
      <c r="B67" s="17" t="s">
        <v>187</v>
      </c>
      <c r="C67" s="17"/>
      <c r="D67" s="14"/>
      <c r="E67" s="14"/>
    </row>
    <row r="68" spans="1:10" x14ac:dyDescent="0.3">
      <c r="B68" t="s">
        <v>188</v>
      </c>
    </row>
  </sheetData>
  <mergeCells count="2">
    <mergeCell ref="D2:F2"/>
    <mergeCell ref="G2: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11C3-40F7-430F-A3BB-E368C3B1F3EC}">
  <dimension ref="A2:I32"/>
  <sheetViews>
    <sheetView zoomScaleNormal="100" workbookViewId="0">
      <selection activeCell="A16" sqref="A16"/>
    </sheetView>
  </sheetViews>
  <sheetFormatPr defaultRowHeight="14.4" x14ac:dyDescent="0.3"/>
  <cols>
    <col min="1" max="1" width="22.44140625" bestFit="1" customWidth="1"/>
    <col min="2" max="2" width="29.33203125" customWidth="1"/>
  </cols>
  <sheetData>
    <row r="2" spans="1:9" x14ac:dyDescent="0.3">
      <c r="B2" t="s">
        <v>169</v>
      </c>
    </row>
    <row r="3" spans="1:9" x14ac:dyDescent="0.3">
      <c r="B3" s="202" t="s">
        <v>17</v>
      </c>
      <c r="C3" s="253" t="s">
        <v>139</v>
      </c>
      <c r="D3" s="253" t="s">
        <v>140</v>
      </c>
      <c r="E3" s="253" t="s">
        <v>141</v>
      </c>
      <c r="F3" s="253" t="s">
        <v>316</v>
      </c>
      <c r="G3" s="253" t="s">
        <v>317</v>
      </c>
      <c r="H3" s="253" t="s">
        <v>318</v>
      </c>
      <c r="I3" s="253" t="s">
        <v>319</v>
      </c>
    </row>
    <row r="4" spans="1:9" x14ac:dyDescent="0.3">
      <c r="B4" s="202" t="s">
        <v>0</v>
      </c>
      <c r="C4" s="203">
        <f>'Income Statement'!D5</f>
        <v>2512970</v>
      </c>
      <c r="D4" s="203">
        <f>'Income Statement'!E5</f>
        <v>2771277</v>
      </c>
      <c r="E4" s="203">
        <f>'Income Statement'!F5</f>
        <v>3126053</v>
      </c>
      <c r="F4" s="203">
        <f>'Income Statement'!G5</f>
        <v>3344876.71</v>
      </c>
      <c r="G4" s="203">
        <f>'Income Statement'!H5</f>
        <v>3579018.0797000001</v>
      </c>
      <c r="H4" s="203">
        <f>'Income Statement'!I5</f>
        <v>3829549.3452790002</v>
      </c>
      <c r="I4" s="203">
        <f>'Income Statement'!J5</f>
        <v>4097617.7994485307</v>
      </c>
    </row>
    <row r="5" spans="1:9" x14ac:dyDescent="0.3">
      <c r="A5" t="s">
        <v>164</v>
      </c>
      <c r="B5" s="202" t="s">
        <v>46</v>
      </c>
      <c r="C5" s="203">
        <f>'Balance Sheet'!D27</f>
        <v>1105972</v>
      </c>
      <c r="D5" s="203">
        <f>'Balance Sheet'!E27</f>
        <v>801650</v>
      </c>
      <c r="E5" s="203">
        <f>'Balance Sheet'!F27</f>
        <v>416708</v>
      </c>
      <c r="F5" s="203">
        <f ca="1">'Balance Sheet'!G27</f>
        <v>531478.33512549382</v>
      </c>
      <c r="G5" s="203">
        <f ca="1">'Balance Sheet'!H27</f>
        <v>1019747.7367630723</v>
      </c>
      <c r="H5" s="203">
        <f ca="1">'Balance Sheet'!I27</f>
        <v>299983.15855413175</v>
      </c>
      <c r="I5" s="203">
        <f ca="1">'Balance Sheet'!J27</f>
        <v>423403.47566347255</v>
      </c>
    </row>
    <row r="6" spans="1:9" x14ac:dyDescent="0.3">
      <c r="A6" t="s">
        <v>164</v>
      </c>
      <c r="B6" s="202" t="s">
        <v>54</v>
      </c>
      <c r="C6" s="203">
        <f>'Balance Sheet'!D36</f>
        <v>1320081</v>
      </c>
      <c r="D6" s="203">
        <f>'Balance Sheet'!E36</f>
        <v>1460106</v>
      </c>
      <c r="E6" s="203">
        <f>'Balance Sheet'!F36</f>
        <v>532595</v>
      </c>
      <c r="F6" s="203">
        <f>'Balance Sheet'!G36</f>
        <v>544988.18700131949</v>
      </c>
      <c r="G6" s="203">
        <f>'Balance Sheet'!H36</f>
        <v>766433.26009141188</v>
      </c>
      <c r="H6" s="203">
        <f>'Balance Sheet'!I36</f>
        <v>789379.48829781066</v>
      </c>
      <c r="I6" s="203">
        <f>'Balance Sheet'!J36</f>
        <v>813931.95247865748</v>
      </c>
    </row>
    <row r="7" spans="1:9" x14ac:dyDescent="0.3">
      <c r="A7" t="s">
        <v>155</v>
      </c>
      <c r="B7" s="202" t="s">
        <v>154</v>
      </c>
      <c r="C7" s="204">
        <f>C5/C6</f>
        <v>0.83780616492472815</v>
      </c>
      <c r="D7" s="204">
        <f t="shared" ref="D7:I7" si="0">D5/D6</f>
        <v>0.54903548098562704</v>
      </c>
      <c r="E7" s="204">
        <f t="shared" si="0"/>
        <v>0.78241064974323826</v>
      </c>
      <c r="F7" s="204">
        <f t="shared" ca="1" si="0"/>
        <v>0.97521074364903071</v>
      </c>
      <c r="G7" s="204">
        <f t="shared" ca="1" si="0"/>
        <v>1.3305108087838566</v>
      </c>
      <c r="H7" s="204">
        <f t="shared" ca="1" si="0"/>
        <v>0.3800240099993028</v>
      </c>
      <c r="I7" s="204">
        <f t="shared" ca="1" si="0"/>
        <v>0.5201951764813838</v>
      </c>
    </row>
    <row r="8" spans="1:9" x14ac:dyDescent="0.3">
      <c r="A8" t="s">
        <v>155</v>
      </c>
      <c r="B8" s="202" t="s">
        <v>165</v>
      </c>
      <c r="C8" s="204">
        <f>('Balance Sheet'!D27-'Balance Sheet'!D15)/'Balance Sheet'!D36</f>
        <v>0.80772543503012317</v>
      </c>
      <c r="D8" s="204">
        <f>('Balance Sheet'!E27-'Balance Sheet'!E15)/'Balance Sheet'!E36</f>
        <v>0.52221756502610084</v>
      </c>
      <c r="E8" s="204">
        <f>('Balance Sheet'!F27-'Balance Sheet'!F15)/'Balance Sheet'!F36</f>
        <v>0.67622302124503608</v>
      </c>
      <c r="F8" s="204">
        <f ca="1">('Balance Sheet'!G27-'Balance Sheet'!G15)/'Balance Sheet'!G36</f>
        <v>0.8828921912236094</v>
      </c>
      <c r="G8" s="204">
        <f ca="1">('Balance Sheet'!H27-'Balance Sheet'!H15)/'Balance Sheet'!H36</f>
        <v>1.2602706460038644</v>
      </c>
      <c r="H8" s="204">
        <f ca="1">('Balance Sheet'!I27-'Balance Sheet'!I15)/'Balance Sheet'!I36</f>
        <v>0.30705175066247753</v>
      </c>
      <c r="I8" s="204">
        <f ca="1">('Balance Sheet'!J27-'Balance Sheet'!J15)/'Balance Sheet'!J36</f>
        <v>0.44447017160965147</v>
      </c>
    </row>
    <row r="9" spans="1:9" x14ac:dyDescent="0.3">
      <c r="A9" t="s">
        <v>156</v>
      </c>
      <c r="B9" s="202" t="s">
        <v>157</v>
      </c>
      <c r="C9" s="204">
        <f>('Balance Sheet'!D36+'Balance Sheet'!D42)/'Balance Sheet'!D50</f>
        <v>0.61454068007833362</v>
      </c>
      <c r="D9" s="204">
        <f>('Balance Sheet'!E36+'Balance Sheet'!E42)/'Balance Sheet'!E50</f>
        <v>0.88589224896173691</v>
      </c>
      <c r="E9" s="204">
        <f>('Balance Sheet'!F36+'Balance Sheet'!F42)/'Balance Sheet'!F50</f>
        <v>0.73839110296046262</v>
      </c>
      <c r="F9" s="204">
        <f ca="1">('Balance Sheet'!G36+'Balance Sheet'!G42)/'Balance Sheet'!G50</f>
        <v>0.6899166854717631</v>
      </c>
      <c r="G9" s="204">
        <f ca="1">('Balance Sheet'!H36+'Balance Sheet'!H42)/'Balance Sheet'!H50</f>
        <v>0.71355064034207127</v>
      </c>
      <c r="H9" s="204">
        <f ca="1">('Balance Sheet'!I36+'Balance Sheet'!I42)/'Balance Sheet'!I50</f>
        <v>0.68136392670778001</v>
      </c>
      <c r="I9" s="204">
        <f ca="1">('Balance Sheet'!J36+'Balance Sheet'!J42)/'Balance Sheet'!J50</f>
        <v>0.68274693916363349</v>
      </c>
    </row>
    <row r="10" spans="1:9" x14ac:dyDescent="0.3">
      <c r="A10" t="s">
        <v>156</v>
      </c>
      <c r="B10" s="202" t="s">
        <v>158</v>
      </c>
      <c r="C10" s="204">
        <f>'Income Statement'!D25/-'Income Statement'!D21</f>
        <v>7.4081568442373111</v>
      </c>
      <c r="D10" s="204">
        <f>'Income Statement'!E25/-'Income Statement'!E21</f>
        <v>6.6319202731989231</v>
      </c>
      <c r="E10" s="204">
        <f>'Income Statement'!F25/-'Income Statement'!F21</f>
        <v>9.5841833832619159</v>
      </c>
      <c r="F10" s="204">
        <f>'Income Statement'!G25/-'Income Statement'!G21</f>
        <v>9.4950229285671313</v>
      </c>
      <c r="G10" s="204">
        <f>'Income Statement'!H25/-'Income Statement'!H21</f>
        <v>9.1203288574929786</v>
      </c>
      <c r="H10" s="204">
        <f>'Income Statement'!I25/-'Income Statement'!I21</f>
        <v>9.2321673800848423</v>
      </c>
      <c r="I10" s="204">
        <f>'Income Statement'!J25/-'Income Statement'!J21</f>
        <v>32.760448289023266</v>
      </c>
    </row>
    <row r="11" spans="1:9" x14ac:dyDescent="0.3">
      <c r="A11" t="s">
        <v>159</v>
      </c>
      <c r="B11" s="202" t="s">
        <v>160</v>
      </c>
      <c r="C11" s="154">
        <f>'Income Statement'!D7/'Income Statement'!D5</f>
        <v>0.70745293417748722</v>
      </c>
      <c r="D11" s="154">
        <f>'Income Statement'!E7/'Income Statement'!E5</f>
        <v>0.71600457117783611</v>
      </c>
      <c r="E11" s="154">
        <f>'Income Statement'!F7/'Income Statement'!F5</f>
        <v>0.71623577719251719</v>
      </c>
      <c r="F11" s="154">
        <f>'Income Statement'!G7/'Income Statement'!G5</f>
        <v>0.71499999999999997</v>
      </c>
      <c r="G11" s="154">
        <f>'Income Statement'!H7/'Income Statement'!H5</f>
        <v>0.71500000000000008</v>
      </c>
      <c r="H11" s="154">
        <f>'Income Statement'!I7/'Income Statement'!I5</f>
        <v>0.71500000000000008</v>
      </c>
      <c r="I11" s="154">
        <f>'Income Statement'!J7/'Income Statement'!J5</f>
        <v>0.71499999999999997</v>
      </c>
    </row>
    <row r="12" spans="1:9" x14ac:dyDescent="0.3">
      <c r="A12" t="s">
        <v>159</v>
      </c>
      <c r="B12" s="202" t="s">
        <v>161</v>
      </c>
      <c r="C12" s="154">
        <f>'Income Statement'!D37/'Income Statement'!D5</f>
        <v>8.8257718954066297E-2</v>
      </c>
      <c r="D12" s="154">
        <f>'Income Statement'!E37/'Income Statement'!E5</f>
        <v>8.0471565996470221E-2</v>
      </c>
      <c r="E12" s="154">
        <f>'Income Statement'!F37/'Income Statement'!F5</f>
        <v>9.3083834471136606E-2</v>
      </c>
      <c r="F12" s="154">
        <f>'Income Statement'!G37/'Income Statement'!G5</f>
        <v>4.4979658620661105E-2</v>
      </c>
      <c r="G12" s="154">
        <f>'Income Statement'!H37/'Income Statement'!H5</f>
        <v>3.730707694997519E-2</v>
      </c>
      <c r="H12" s="154">
        <f>'Income Statement'!I37/'Income Statement'!I5</f>
        <v>4.5149855560017341E-2</v>
      </c>
      <c r="I12" s="154">
        <f>'Income Statement'!J37/'Income Statement'!J5</f>
        <v>7.1511264741630342E-3</v>
      </c>
    </row>
    <row r="13" spans="1:9" x14ac:dyDescent="0.3">
      <c r="A13" t="s">
        <v>162</v>
      </c>
      <c r="B13" s="202" t="s">
        <v>163</v>
      </c>
      <c r="C13" s="149">
        <f>'Income Statement'!D5/'Balance Sheet'!D50</f>
        <v>1.1184662631297846</v>
      </c>
      <c r="D13" s="149">
        <f>'Income Statement'!E5/'Balance Sheet'!E50</f>
        <v>1.5978423500637402</v>
      </c>
      <c r="E13" s="149">
        <f>'Income Statement'!F5/'Balance Sheet'!F50</f>
        <v>2.2341604923360161</v>
      </c>
      <c r="F13" s="149">
        <f ca="1">'Income Statement'!G5/'Balance Sheet'!G50</f>
        <v>2.2040657939810639</v>
      </c>
      <c r="G13" s="149">
        <f ca="1">'Income Statement'!H5/'Balance Sheet'!H50</f>
        <v>1.7300471204354146</v>
      </c>
      <c r="H13" s="149">
        <f ca="1">'Income Statement'!I5/'Balance Sheet'!I50</f>
        <v>1.7310874181181335</v>
      </c>
      <c r="I13" s="149">
        <f ca="1">'Income Statement'!J5/'Balance Sheet'!J50</f>
        <v>1.8158357999752059</v>
      </c>
    </row>
    <row r="15" spans="1:9" x14ac:dyDescent="0.3">
      <c r="B15" s="205" t="s">
        <v>309</v>
      </c>
    </row>
    <row r="16" spans="1:9" x14ac:dyDescent="0.3">
      <c r="B16" s="202" t="s">
        <v>17</v>
      </c>
      <c r="C16" s="253" t="s">
        <v>139</v>
      </c>
      <c r="D16" s="253" t="s">
        <v>140</v>
      </c>
      <c r="E16" s="253" t="s">
        <v>141</v>
      </c>
      <c r="F16" s="253" t="s">
        <v>316</v>
      </c>
      <c r="G16" s="253" t="s">
        <v>317</v>
      </c>
      <c r="H16" s="253" t="s">
        <v>318</v>
      </c>
      <c r="I16" s="253" t="s">
        <v>319</v>
      </c>
    </row>
    <row r="17" spans="2:9" x14ac:dyDescent="0.3">
      <c r="B17" s="149" t="s">
        <v>154</v>
      </c>
      <c r="C17" s="201">
        <f t="shared" ref="C17:E20" si="1">C7</f>
        <v>0.83780616492472815</v>
      </c>
      <c r="D17" s="201">
        <f t="shared" si="1"/>
        <v>0.54903548098562704</v>
      </c>
      <c r="E17" s="201">
        <f>E7</f>
        <v>0.78241064974323826</v>
      </c>
      <c r="F17" s="201">
        <f t="shared" ref="F17:I17" ca="1" si="2">F7</f>
        <v>0.97521074364903071</v>
      </c>
      <c r="G17" s="201">
        <f t="shared" ca="1" si="2"/>
        <v>1.3305108087838566</v>
      </c>
      <c r="H17" s="201">
        <f t="shared" ca="1" si="2"/>
        <v>0.3800240099993028</v>
      </c>
      <c r="I17" s="201">
        <f t="shared" ca="1" si="2"/>
        <v>0.5201951764813838</v>
      </c>
    </row>
    <row r="18" spans="2:9" x14ac:dyDescent="0.3">
      <c r="B18" s="149" t="s">
        <v>165</v>
      </c>
      <c r="C18" s="201">
        <f t="shared" si="1"/>
        <v>0.80772543503012317</v>
      </c>
      <c r="D18" s="201">
        <f t="shared" si="1"/>
        <v>0.52221756502610084</v>
      </c>
      <c r="E18" s="201">
        <f t="shared" si="1"/>
        <v>0.67622302124503608</v>
      </c>
      <c r="F18" s="201">
        <f t="shared" ref="F18:I18" ca="1" si="3">F8</f>
        <v>0.8828921912236094</v>
      </c>
      <c r="G18" s="201">
        <f t="shared" ca="1" si="3"/>
        <v>1.2602706460038644</v>
      </c>
      <c r="H18" s="201">
        <f t="shared" ca="1" si="3"/>
        <v>0.30705175066247753</v>
      </c>
      <c r="I18" s="201">
        <f t="shared" ca="1" si="3"/>
        <v>0.44447017160965147</v>
      </c>
    </row>
    <row r="19" spans="2:9" x14ac:dyDescent="0.3">
      <c r="B19" s="149" t="s">
        <v>157</v>
      </c>
      <c r="C19" s="201">
        <f t="shared" si="1"/>
        <v>0.61454068007833362</v>
      </c>
      <c r="D19" s="201">
        <f t="shared" si="1"/>
        <v>0.88589224896173691</v>
      </c>
      <c r="E19" s="201">
        <f t="shared" si="1"/>
        <v>0.73839110296046262</v>
      </c>
      <c r="F19" s="201">
        <f t="shared" ref="F19:I19" ca="1" si="4">F9</f>
        <v>0.6899166854717631</v>
      </c>
      <c r="G19" s="201">
        <f t="shared" ca="1" si="4"/>
        <v>0.71355064034207127</v>
      </c>
      <c r="H19" s="201">
        <f t="shared" ca="1" si="4"/>
        <v>0.68136392670778001</v>
      </c>
      <c r="I19" s="201">
        <f t="shared" ca="1" si="4"/>
        <v>0.68274693916363349</v>
      </c>
    </row>
    <row r="20" spans="2:9" x14ac:dyDescent="0.3">
      <c r="B20" s="149" t="s">
        <v>158</v>
      </c>
      <c r="C20" s="201">
        <f t="shared" si="1"/>
        <v>7.4081568442373111</v>
      </c>
      <c r="D20" s="201">
        <f t="shared" si="1"/>
        <v>6.6319202731989231</v>
      </c>
      <c r="E20" s="201">
        <f t="shared" si="1"/>
        <v>9.5841833832619159</v>
      </c>
      <c r="F20" s="201">
        <f t="shared" ref="F20:H20" si="5">F10</f>
        <v>9.4950229285671313</v>
      </c>
      <c r="G20" s="201">
        <f t="shared" si="5"/>
        <v>9.1203288574929786</v>
      </c>
      <c r="H20" s="201">
        <f t="shared" si="5"/>
        <v>9.2321673800848423</v>
      </c>
      <c r="I20" s="201">
        <f>I10</f>
        <v>32.760448289023266</v>
      </c>
    </row>
    <row r="21" spans="2:9" x14ac:dyDescent="0.3">
      <c r="C21" s="10"/>
      <c r="D21" s="10"/>
      <c r="E21" s="10"/>
    </row>
    <row r="22" spans="2:9" x14ac:dyDescent="0.3">
      <c r="B22" s="205" t="s">
        <v>309</v>
      </c>
      <c r="C22" s="10"/>
      <c r="D22" s="10"/>
      <c r="E22" s="10"/>
    </row>
    <row r="23" spans="2:9" x14ac:dyDescent="0.3">
      <c r="B23" s="254" t="s">
        <v>17</v>
      </c>
      <c r="C23" s="253" t="s">
        <v>139</v>
      </c>
      <c r="D23" s="253" t="s">
        <v>140</v>
      </c>
      <c r="E23" s="253" t="s">
        <v>141</v>
      </c>
      <c r="F23" s="253" t="s">
        <v>316</v>
      </c>
      <c r="G23" s="253" t="s">
        <v>317</v>
      </c>
      <c r="H23" s="253" t="s">
        <v>318</v>
      </c>
      <c r="I23" s="253" t="s">
        <v>319</v>
      </c>
    </row>
    <row r="24" spans="2:9" x14ac:dyDescent="0.3">
      <c r="B24" s="11" t="s">
        <v>170</v>
      </c>
      <c r="C24" s="255">
        <f>C4</f>
        <v>2512970</v>
      </c>
      <c r="D24" s="255">
        <f>D4</f>
        <v>2771277</v>
      </c>
      <c r="E24" s="255">
        <f>E4</f>
        <v>3126053</v>
      </c>
      <c r="F24" s="255">
        <f t="shared" ref="F24:I24" si="6">F4</f>
        <v>3344876.71</v>
      </c>
      <c r="G24" s="255">
        <f t="shared" si="6"/>
        <v>3579018.0797000001</v>
      </c>
      <c r="H24" s="255">
        <f t="shared" si="6"/>
        <v>3829549.3452790002</v>
      </c>
      <c r="I24" s="255">
        <f t="shared" si="6"/>
        <v>4097617.7994485307</v>
      </c>
    </row>
    <row r="25" spans="2:9" x14ac:dyDescent="0.3">
      <c r="B25" s="11" t="s">
        <v>160</v>
      </c>
      <c r="C25" s="12">
        <f t="shared" ref="C25:E26" si="7">C11</f>
        <v>0.70745293417748722</v>
      </c>
      <c r="D25" s="12">
        <f t="shared" si="7"/>
        <v>0.71600457117783611</v>
      </c>
      <c r="E25" s="12">
        <f t="shared" si="7"/>
        <v>0.71623577719251719</v>
      </c>
      <c r="F25" s="12">
        <f t="shared" ref="F25:I25" si="8">F11</f>
        <v>0.71499999999999997</v>
      </c>
      <c r="G25" s="12">
        <f t="shared" si="8"/>
        <v>0.71500000000000008</v>
      </c>
      <c r="H25" s="12">
        <f t="shared" si="8"/>
        <v>0.71500000000000008</v>
      </c>
      <c r="I25" s="12">
        <f t="shared" si="8"/>
        <v>0.71499999999999997</v>
      </c>
    </row>
    <row r="26" spans="2:9" x14ac:dyDescent="0.3">
      <c r="B26" s="11" t="s">
        <v>161</v>
      </c>
      <c r="C26" s="12">
        <f t="shared" si="7"/>
        <v>8.8257718954066297E-2</v>
      </c>
      <c r="D26" s="12">
        <f t="shared" si="7"/>
        <v>8.0471565996470221E-2</v>
      </c>
      <c r="E26" s="12">
        <f t="shared" si="7"/>
        <v>9.3083834471136606E-2</v>
      </c>
      <c r="F26" s="12">
        <f t="shared" ref="F26:I26" si="9">F12</f>
        <v>4.4979658620661105E-2</v>
      </c>
      <c r="G26" s="12">
        <f t="shared" si="9"/>
        <v>3.730707694997519E-2</v>
      </c>
      <c r="H26" s="12">
        <f t="shared" si="9"/>
        <v>4.5149855560017341E-2</v>
      </c>
      <c r="I26" s="12">
        <f t="shared" si="9"/>
        <v>7.1511264741630342E-3</v>
      </c>
    </row>
    <row r="27" spans="2:9" x14ac:dyDescent="0.3">
      <c r="B27" s="11" t="s">
        <v>163</v>
      </c>
      <c r="C27" s="13">
        <f>C13</f>
        <v>1.1184662631297846</v>
      </c>
      <c r="D27" s="13">
        <f t="shared" ref="D27:E27" si="10">D13</f>
        <v>1.5978423500637402</v>
      </c>
      <c r="E27" s="13">
        <f t="shared" si="10"/>
        <v>2.2341604923360161</v>
      </c>
      <c r="F27" s="13">
        <f ca="1">F13</f>
        <v>2.2040657939810639</v>
      </c>
      <c r="G27" s="13">
        <f t="shared" ref="G27:I27" ca="1" si="11">G13</f>
        <v>1.7300471204354146</v>
      </c>
      <c r="H27" s="13">
        <f t="shared" ca="1" si="11"/>
        <v>1.7310874181181335</v>
      </c>
      <c r="I27" s="13">
        <f t="shared" ca="1" si="11"/>
        <v>1.8158357999752059</v>
      </c>
    </row>
    <row r="28" spans="2:9" x14ac:dyDescent="0.3">
      <c r="B28" s="11" t="s">
        <v>154</v>
      </c>
      <c r="C28" s="13">
        <f>C7</f>
        <v>0.83780616492472815</v>
      </c>
      <c r="D28" s="13">
        <f t="shared" ref="D28:E28" si="12">D7</f>
        <v>0.54903548098562704</v>
      </c>
      <c r="E28" s="13">
        <f t="shared" si="12"/>
        <v>0.78241064974323826</v>
      </c>
      <c r="F28" s="13">
        <f t="shared" ref="F28:I28" ca="1" si="13">F7</f>
        <v>0.97521074364903071</v>
      </c>
      <c r="G28" s="13">
        <f t="shared" ca="1" si="13"/>
        <v>1.3305108087838566</v>
      </c>
      <c r="H28" s="13">
        <f t="shared" ca="1" si="13"/>
        <v>0.3800240099993028</v>
      </c>
      <c r="I28" s="13">
        <f t="shared" ca="1" si="13"/>
        <v>0.5201951764813838</v>
      </c>
    </row>
    <row r="29" spans="2:9" x14ac:dyDescent="0.3">
      <c r="B29" s="11" t="s">
        <v>157</v>
      </c>
      <c r="C29" s="13">
        <f>C9</f>
        <v>0.61454068007833362</v>
      </c>
      <c r="D29" s="13">
        <f t="shared" ref="D29:E29" si="14">D9</f>
        <v>0.88589224896173691</v>
      </c>
      <c r="E29" s="13">
        <f t="shared" si="14"/>
        <v>0.73839110296046262</v>
      </c>
      <c r="F29" s="13">
        <f t="shared" ref="F29:I29" ca="1" si="15">F9</f>
        <v>0.6899166854717631</v>
      </c>
      <c r="G29" s="13">
        <f t="shared" ca="1" si="15"/>
        <v>0.71355064034207127</v>
      </c>
      <c r="H29" s="13">
        <f t="shared" ca="1" si="15"/>
        <v>0.68136392670778001</v>
      </c>
      <c r="I29" s="13">
        <f t="shared" ca="1" si="15"/>
        <v>0.68274693916363349</v>
      </c>
    </row>
    <row r="31" spans="2:9" x14ac:dyDescent="0.3">
      <c r="B31" t="s">
        <v>310</v>
      </c>
    </row>
    <row r="32" spans="2:9" x14ac:dyDescent="0.3">
      <c r="B32" s="9" t="s">
        <v>153</v>
      </c>
    </row>
  </sheetData>
  <hyperlinks>
    <hyperlink ref="B32" r:id="rId1" xr:uid="{E5191D75-E225-411F-AE54-8B1798D2709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29A65-7B31-478A-9867-B9A62F050F04}">
  <dimension ref="B2:L22"/>
  <sheetViews>
    <sheetView zoomScaleNormal="100" workbookViewId="0"/>
  </sheetViews>
  <sheetFormatPr defaultRowHeight="14.4" x14ac:dyDescent="0.3"/>
  <cols>
    <col min="2" max="2" width="37.109375" bestFit="1" customWidth="1"/>
    <col min="7" max="10" width="11.33203125" bestFit="1" customWidth="1"/>
    <col min="12" max="12" width="0" hidden="1" customWidth="1"/>
  </cols>
  <sheetData>
    <row r="2" spans="2:12" x14ac:dyDescent="0.3">
      <c r="B2" s="112"/>
      <c r="C2" s="113"/>
      <c r="D2" s="262" t="s">
        <v>302</v>
      </c>
      <c r="E2" s="262"/>
      <c r="F2" s="262"/>
      <c r="G2" s="263" t="s">
        <v>303</v>
      </c>
      <c r="H2" s="263"/>
      <c r="I2" s="263"/>
      <c r="J2" s="264"/>
    </row>
    <row r="3" spans="2:12" ht="15" thickBot="1" x14ac:dyDescent="0.35">
      <c r="B3" s="109" t="s">
        <v>304</v>
      </c>
      <c r="C3" s="19"/>
      <c r="D3" s="110" t="s">
        <v>139</v>
      </c>
      <c r="E3" s="110" t="s">
        <v>140</v>
      </c>
      <c r="F3" s="110" t="s">
        <v>141</v>
      </c>
      <c r="G3" s="110" t="s">
        <v>305</v>
      </c>
      <c r="H3" s="110" t="s">
        <v>306</v>
      </c>
      <c r="I3" s="110" t="s">
        <v>307</v>
      </c>
      <c r="J3" s="111" t="s">
        <v>308</v>
      </c>
    </row>
    <row r="4" spans="2:12" x14ac:dyDescent="0.3">
      <c r="B4" s="108"/>
      <c r="C4" s="19" t="s">
        <v>16</v>
      </c>
      <c r="D4" s="19"/>
      <c r="E4" s="19"/>
      <c r="F4" s="19"/>
      <c r="G4" s="19"/>
      <c r="H4" s="19"/>
      <c r="I4" s="19"/>
      <c r="J4" s="114"/>
    </row>
    <row r="5" spans="2:12" x14ac:dyDescent="0.3">
      <c r="B5" s="108" t="s">
        <v>0</v>
      </c>
      <c r="C5" s="19"/>
      <c r="D5" s="158">
        <f>'Income Statement'!D5</f>
        <v>2512970</v>
      </c>
      <c r="E5" s="158">
        <f>'Income Statement'!E5</f>
        <v>2771277</v>
      </c>
      <c r="F5" s="158">
        <f>'Income Statement'!F5</f>
        <v>3126053</v>
      </c>
      <c r="G5" s="158">
        <f>'Income Statement'!G5</f>
        <v>3344876.71</v>
      </c>
      <c r="H5" s="158">
        <f>'Income Statement'!H5</f>
        <v>3579018.0797000001</v>
      </c>
      <c r="I5" s="158">
        <f>'Income Statement'!I5</f>
        <v>3829549.3452790002</v>
      </c>
      <c r="J5" s="159">
        <f>'Income Statement'!J5</f>
        <v>4097617.7994485307</v>
      </c>
    </row>
    <row r="6" spans="2:12" x14ac:dyDescent="0.3">
      <c r="B6" s="108" t="s">
        <v>137</v>
      </c>
      <c r="C6" s="19"/>
      <c r="D6" s="158">
        <f>'Cash Flow Statement'!D36</f>
        <v>-230675</v>
      </c>
      <c r="E6" s="158">
        <f>'Cash Flow Statement'!E36</f>
        <v>-297304</v>
      </c>
      <c r="F6" s="158">
        <f>'Cash Flow Statement'!F36</f>
        <v>-222079</v>
      </c>
      <c r="G6" s="120">
        <f>-G17</f>
        <v>-159000</v>
      </c>
      <c r="H6" s="120">
        <f t="shared" ref="H6:J6" si="0">-H17</f>
        <v>-213500</v>
      </c>
      <c r="I6" s="120">
        <f>-I17</f>
        <v>-1025000</v>
      </c>
      <c r="J6" s="128">
        <f t="shared" si="0"/>
        <v>-245857.06796691183</v>
      </c>
    </row>
    <row r="7" spans="2:12" x14ac:dyDescent="0.3">
      <c r="B7" s="108" t="s">
        <v>138</v>
      </c>
      <c r="C7" s="19"/>
      <c r="D7" s="129">
        <f>-D6/D5</f>
        <v>9.1793773901001602E-2</v>
      </c>
      <c r="E7" s="129">
        <f t="shared" ref="E7:J7" si="1">-E6/E5</f>
        <v>0.10728050642357297</v>
      </c>
      <c r="F7" s="129">
        <f t="shared" si="1"/>
        <v>7.1041341909430192E-2</v>
      </c>
      <c r="G7" s="129">
        <f t="shared" si="1"/>
        <v>4.7535384346049633E-2</v>
      </c>
      <c r="H7" s="129">
        <f t="shared" si="1"/>
        <v>5.9653233162179492E-2</v>
      </c>
      <c r="I7" s="129">
        <f t="shared" si="1"/>
        <v>0.26765551441806112</v>
      </c>
      <c r="J7" s="206">
        <f t="shared" si="1"/>
        <v>0.06</v>
      </c>
    </row>
    <row r="8" spans="2:12" x14ac:dyDescent="0.3">
      <c r="B8" s="108" t="s">
        <v>71</v>
      </c>
      <c r="C8" s="19"/>
      <c r="D8" s="120">
        <f>'Income Statement'!D12</f>
        <v>-128995</v>
      </c>
      <c r="E8" s="120">
        <f>'Income Statement'!E12</f>
        <v>-133396</v>
      </c>
      <c r="F8" s="120">
        <f>'Income Statement'!F12</f>
        <v>-147813</v>
      </c>
      <c r="G8" s="116">
        <f>-G11*F9</f>
        <v>-152531.81</v>
      </c>
      <c r="H8" s="116">
        <f>-H11*G9</f>
        <v>-153760.76609999998</v>
      </c>
      <c r="I8" s="116">
        <f>-I11*H9</f>
        <v>-165111.22054099999</v>
      </c>
      <c r="J8" s="117">
        <f>-J11*I9</f>
        <v>-328490.08863820997</v>
      </c>
    </row>
    <row r="9" spans="2:12" x14ac:dyDescent="0.3">
      <c r="B9" s="108" t="s">
        <v>27</v>
      </c>
      <c r="C9" s="19"/>
      <c r="D9" s="120">
        <f>'Balance Sheet'!D6</f>
        <v>721674</v>
      </c>
      <c r="E9" s="120">
        <f>'Balance Sheet'!E6</f>
        <v>743305</v>
      </c>
      <c r="F9" s="120">
        <f>'Balance Sheet'!F6</f>
        <v>802799</v>
      </c>
      <c r="G9" s="120">
        <f>F9+G17+G8</f>
        <v>809267.19</v>
      </c>
      <c r="H9" s="120">
        <f>G9+H17+H8</f>
        <v>869006.42389999994</v>
      </c>
      <c r="I9" s="120">
        <f>H9+I17+I8</f>
        <v>1728895.2033589999</v>
      </c>
      <c r="J9" s="128">
        <f>I9+J17+J8</f>
        <v>1646262.1826877019</v>
      </c>
    </row>
    <row r="10" spans="2:12" x14ac:dyDescent="0.3">
      <c r="B10" s="108" t="s">
        <v>176</v>
      </c>
      <c r="C10" s="19"/>
      <c r="D10" s="129">
        <f>-D8/D5</f>
        <v>5.1331691186126377E-2</v>
      </c>
      <c r="E10" s="129">
        <f t="shared" ref="E10:F10" si="2">-E8/E5</f>
        <v>4.813520986895211E-2</v>
      </c>
      <c r="F10" s="129">
        <f t="shared" si="2"/>
        <v>4.7284227106834081E-2</v>
      </c>
      <c r="G10" s="129">
        <f t="shared" ref="G10" si="3">-G8/G5</f>
        <v>4.5601623983324638E-2</v>
      </c>
      <c r="H10" s="129">
        <f t="shared" ref="H10" si="4">-H8/H5</f>
        <v>4.2961718179665771E-2</v>
      </c>
      <c r="I10" s="129">
        <f t="shared" ref="I10" si="5">-I8/I5</f>
        <v>4.3115052361068579E-2</v>
      </c>
      <c r="J10" s="206">
        <f>-J8/J5</f>
        <v>8.0166112291492661E-2</v>
      </c>
      <c r="L10" t="s">
        <v>178</v>
      </c>
    </row>
    <row r="11" spans="2:12" x14ac:dyDescent="0.3">
      <c r="B11" s="146" t="s">
        <v>179</v>
      </c>
      <c r="C11" s="147"/>
      <c r="D11" s="147"/>
      <c r="E11" s="148">
        <f>-E8/D9</f>
        <v>0.18484246349459729</v>
      </c>
      <c r="F11" s="148">
        <f>-F8/E9</f>
        <v>0.19885914933977303</v>
      </c>
      <c r="G11" s="207">
        <v>0.19</v>
      </c>
      <c r="H11" s="207">
        <v>0.19</v>
      </c>
      <c r="I11" s="207">
        <v>0.19</v>
      </c>
      <c r="J11" s="208">
        <v>0.19</v>
      </c>
    </row>
    <row r="13" spans="2:12" x14ac:dyDescent="0.3">
      <c r="B13" s="209" t="s">
        <v>171</v>
      </c>
      <c r="C13" s="113"/>
      <c r="D13" s="113"/>
      <c r="E13" s="113"/>
      <c r="F13" s="113"/>
      <c r="G13" s="113"/>
      <c r="H13" s="113"/>
      <c r="I13" s="113"/>
      <c r="J13" s="145"/>
    </row>
    <row r="14" spans="2:12" x14ac:dyDescent="0.3">
      <c r="B14" s="108" t="s">
        <v>172</v>
      </c>
      <c r="C14" s="19"/>
      <c r="D14" s="19"/>
      <c r="E14" s="19"/>
      <c r="F14" s="19"/>
      <c r="G14" s="120">
        <v>159000</v>
      </c>
      <c r="H14" s="120">
        <v>213500</v>
      </c>
      <c r="I14" s="120">
        <v>392000</v>
      </c>
      <c r="J14" s="128">
        <f>J15*J5</f>
        <v>245857.06796691183</v>
      </c>
      <c r="L14" t="s">
        <v>173</v>
      </c>
    </row>
    <row r="15" spans="2:12" x14ac:dyDescent="0.3">
      <c r="B15" s="108" t="s">
        <v>175</v>
      </c>
      <c r="C15" s="19"/>
      <c r="D15" s="19"/>
      <c r="E15" s="19"/>
      <c r="F15" s="19"/>
      <c r="G15" s="129">
        <f>G14/G5</f>
        <v>4.7535384346049633E-2</v>
      </c>
      <c r="H15" s="129">
        <f>H14/H5</f>
        <v>5.9653233162179492E-2</v>
      </c>
      <c r="I15" s="129">
        <f>I14/I5</f>
        <v>0.10236191380671215</v>
      </c>
      <c r="J15" s="174">
        <v>0.06</v>
      </c>
    </row>
    <row r="16" spans="2:12" x14ac:dyDescent="0.3">
      <c r="B16" s="108" t="s">
        <v>174</v>
      </c>
      <c r="C16" s="19"/>
      <c r="D16" s="19"/>
      <c r="E16" s="19"/>
      <c r="F16" s="19"/>
      <c r="G16" s="120">
        <v>0</v>
      </c>
      <c r="H16" s="19">
        <v>0</v>
      </c>
      <c r="I16" s="120">
        <v>633000</v>
      </c>
      <c r="J16" s="114">
        <v>0</v>
      </c>
    </row>
    <row r="17" spans="2:10" x14ac:dyDescent="0.3">
      <c r="B17" s="146" t="s">
        <v>177</v>
      </c>
      <c r="C17" s="147"/>
      <c r="D17" s="147"/>
      <c r="E17" s="147"/>
      <c r="F17" s="147"/>
      <c r="G17" s="210">
        <f>G14+G16</f>
        <v>159000</v>
      </c>
      <c r="H17" s="210">
        <f t="shared" ref="H17:J17" si="6">H14+H16</f>
        <v>213500</v>
      </c>
      <c r="I17" s="210">
        <f t="shared" si="6"/>
        <v>1025000</v>
      </c>
      <c r="J17" s="211">
        <f t="shared" si="6"/>
        <v>245857.06796691183</v>
      </c>
    </row>
    <row r="18" spans="2:10" x14ac:dyDescent="0.3">
      <c r="G18" s="3"/>
      <c r="H18" s="3"/>
      <c r="I18" s="3"/>
      <c r="J18" s="3"/>
    </row>
    <row r="19" spans="2:10" x14ac:dyDescent="0.3">
      <c r="B19" t="s">
        <v>216</v>
      </c>
    </row>
    <row r="20" spans="2:10" x14ac:dyDescent="0.3">
      <c r="B20" t="s">
        <v>217</v>
      </c>
    </row>
    <row r="22" spans="2:10" x14ac:dyDescent="0.3">
      <c r="B22" t="s">
        <v>261</v>
      </c>
    </row>
  </sheetData>
  <mergeCells count="2">
    <mergeCell ref="D2:F2"/>
    <mergeCell ref="G2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689DB-72A4-453F-9704-A66C28C42546}">
  <dimension ref="B2:M25"/>
  <sheetViews>
    <sheetView workbookViewId="0">
      <selection activeCell="B3" sqref="B2:K3"/>
    </sheetView>
  </sheetViews>
  <sheetFormatPr defaultRowHeight="14.4" x14ac:dyDescent="0.3"/>
  <cols>
    <col min="2" max="2" width="3.109375" customWidth="1"/>
    <col min="3" max="3" width="2.5546875" customWidth="1"/>
    <col min="4" max="4" width="33.33203125" customWidth="1"/>
    <col min="8" max="8" width="11.88671875" bestFit="1" customWidth="1"/>
    <col min="9" max="9" width="10.44140625" bestFit="1" customWidth="1"/>
    <col min="10" max="11" width="11.33203125" bestFit="1" customWidth="1"/>
  </cols>
  <sheetData>
    <row r="2" spans="2:13" x14ac:dyDescent="0.3">
      <c r="B2" s="112"/>
      <c r="C2" s="113"/>
      <c r="D2" s="113"/>
      <c r="E2" s="262" t="s">
        <v>302</v>
      </c>
      <c r="F2" s="262"/>
      <c r="G2" s="262"/>
      <c r="H2" s="263" t="s">
        <v>303</v>
      </c>
      <c r="I2" s="263"/>
      <c r="J2" s="263"/>
      <c r="K2" s="264"/>
    </row>
    <row r="3" spans="2:13" ht="15" thickBot="1" x14ac:dyDescent="0.35">
      <c r="B3" s="109" t="s">
        <v>304</v>
      </c>
      <c r="C3" s="220"/>
      <c r="D3" s="220"/>
      <c r="E3" s="110" t="s">
        <v>139</v>
      </c>
      <c r="F3" s="110" t="s">
        <v>140</v>
      </c>
      <c r="G3" s="110" t="s">
        <v>141</v>
      </c>
      <c r="H3" s="110" t="s">
        <v>305</v>
      </c>
      <c r="I3" s="110" t="s">
        <v>306</v>
      </c>
      <c r="J3" s="110" t="s">
        <v>307</v>
      </c>
      <c r="K3" s="111" t="s">
        <v>308</v>
      </c>
      <c r="M3" s="6" t="s">
        <v>149</v>
      </c>
    </row>
    <row r="4" spans="2:13" x14ac:dyDescent="0.3">
      <c r="B4" s="108"/>
      <c r="C4" s="19"/>
      <c r="D4" s="19" t="s">
        <v>16</v>
      </c>
      <c r="E4" s="19"/>
      <c r="F4" s="19"/>
      <c r="G4" s="19"/>
      <c r="H4" s="19"/>
      <c r="I4" s="19"/>
      <c r="J4" s="19"/>
      <c r="K4" s="114"/>
    </row>
    <row r="5" spans="2:13" x14ac:dyDescent="0.3">
      <c r="B5" s="212" t="s">
        <v>142</v>
      </c>
      <c r="C5" s="19"/>
      <c r="D5" s="19"/>
      <c r="E5" s="19"/>
      <c r="F5" s="19"/>
      <c r="G5" s="19"/>
      <c r="H5" s="19"/>
      <c r="I5" s="19"/>
      <c r="J5" s="19"/>
      <c r="K5" s="114"/>
    </row>
    <row r="6" spans="2:13" x14ac:dyDescent="0.3">
      <c r="B6" s="108">
        <v>1</v>
      </c>
      <c r="C6" s="19" t="s">
        <v>35</v>
      </c>
      <c r="D6" s="19"/>
      <c r="E6" s="158">
        <f>'Balance Sheet'!D15</f>
        <v>39709</v>
      </c>
      <c r="F6" s="158">
        <f>'Balance Sheet'!E15</f>
        <v>39157</v>
      </c>
      <c r="G6" s="158">
        <f>'Balance Sheet'!F15</f>
        <v>56555</v>
      </c>
      <c r="H6" s="116">
        <f>-H7*'Income Statement'!G6/360</f>
        <v>50312.520512916664</v>
      </c>
      <c r="I6" s="116">
        <f>-I7*'Income Statement'!H6/360</f>
        <v>53834.396948820831</v>
      </c>
      <c r="J6" s="116">
        <f>-J7*'Income Statement'!I6/360</f>
        <v>57602.804735238293</v>
      </c>
      <c r="K6" s="117">
        <f>-K7*'Income Statement'!J6/360</f>
        <v>61635.001066704972</v>
      </c>
      <c r="M6" t="s">
        <v>1</v>
      </c>
    </row>
    <row r="7" spans="2:13" x14ac:dyDescent="0.3">
      <c r="B7" s="108"/>
      <c r="C7" s="19"/>
      <c r="D7" s="213" t="s">
        <v>143</v>
      </c>
      <c r="E7" s="19"/>
      <c r="F7" s="214">
        <f>-AVERAGE(E6:F6)*360/'Income Statement'!E6</f>
        <v>18.037279392145152</v>
      </c>
      <c r="G7" s="214">
        <f>-AVERAGE(F6:G6)*360/'Income Statement'!F6</f>
        <v>19.421596235663348</v>
      </c>
      <c r="H7" s="215">
        <v>19</v>
      </c>
      <c r="I7" s="215">
        <f>H7</f>
        <v>19</v>
      </c>
      <c r="J7" s="215">
        <f t="shared" ref="J7:K11" si="0">I7</f>
        <v>19</v>
      </c>
      <c r="K7" s="216">
        <f t="shared" si="0"/>
        <v>19</v>
      </c>
    </row>
    <row r="8" spans="2:13" x14ac:dyDescent="0.3">
      <c r="B8" s="108">
        <v>2</v>
      </c>
      <c r="C8" s="19" t="s">
        <v>36</v>
      </c>
      <c r="D8" s="19"/>
      <c r="E8" s="158">
        <f>'Balance Sheet'!D16</f>
        <v>8127</v>
      </c>
      <c r="F8" s="158">
        <f>'Balance Sheet'!E16</f>
        <v>19327</v>
      </c>
      <c r="G8" s="158">
        <f>'Balance Sheet'!F16</f>
        <v>18700</v>
      </c>
      <c r="H8" s="116">
        <f>H9*'Income Statement'!G5/360</f>
        <v>18582.648388888887</v>
      </c>
      <c r="I8" s="116">
        <f>I9*'Income Statement'!H5/360</f>
        <v>19883.433776111113</v>
      </c>
      <c r="J8" s="116">
        <f>J9*'Income Statement'!I5/360</f>
        <v>21275.274140438891</v>
      </c>
      <c r="K8" s="117">
        <f>K9*'Income Statement'!J5/360</f>
        <v>22764.543330269615</v>
      </c>
      <c r="M8" t="s">
        <v>150</v>
      </c>
    </row>
    <row r="9" spans="2:13" x14ac:dyDescent="0.3">
      <c r="B9" s="108"/>
      <c r="C9" s="19"/>
      <c r="D9" s="213" t="s">
        <v>144</v>
      </c>
      <c r="E9" s="19"/>
      <c r="F9" s="214">
        <f>AVERAGE(E8:F8)*360/'Income Statement'!E5</f>
        <v>1.7831923694383491</v>
      </c>
      <c r="G9" s="214">
        <f>AVERAGE(F8:G8)*360/'Income Statement'!F5</f>
        <v>2.1896173865254362</v>
      </c>
      <c r="H9" s="215">
        <v>2</v>
      </c>
      <c r="I9" s="215">
        <f>H9</f>
        <v>2</v>
      </c>
      <c r="J9" s="215">
        <f t="shared" si="0"/>
        <v>2</v>
      </c>
      <c r="K9" s="216">
        <f t="shared" si="0"/>
        <v>2</v>
      </c>
    </row>
    <row r="10" spans="2:13" x14ac:dyDescent="0.3">
      <c r="B10" s="108">
        <v>3</v>
      </c>
      <c r="C10" s="19" t="s">
        <v>31</v>
      </c>
      <c r="D10" s="19"/>
      <c r="E10" s="158">
        <f>'Balance Sheet'!D17</f>
        <v>71291</v>
      </c>
      <c r="F10" s="158">
        <f>'Balance Sheet'!E17</f>
        <v>80267</v>
      </c>
      <c r="G10" s="158">
        <f>'Balance Sheet'!F17</f>
        <v>95353</v>
      </c>
      <c r="H10" s="116">
        <f>-H11*'Income Statement'!G19/360</f>
        <v>89649.664321145829</v>
      </c>
      <c r="I10" s="116">
        <f>-I11*'Income Statement'!H19/360</f>
        <v>95925.140823626047</v>
      </c>
      <c r="J10" s="116">
        <f>-J11*'Income Statement'!I19/360</f>
        <v>102639.90068127986</v>
      </c>
      <c r="K10" s="117">
        <f>-K11*'Income Statement'!J19/360</f>
        <v>109824.69372896945</v>
      </c>
      <c r="M10" t="s">
        <v>151</v>
      </c>
    </row>
    <row r="11" spans="2:13" x14ac:dyDescent="0.3">
      <c r="B11" s="108"/>
      <c r="C11" s="19"/>
      <c r="D11" s="213" t="s">
        <v>144</v>
      </c>
      <c r="E11" s="19"/>
      <c r="F11" s="214">
        <f>-AVERAGE(E10:F10)*360/'Income Statement'!E19</f>
        <v>16.982398476090875</v>
      </c>
      <c r="G11" s="214">
        <f>-AVERAGE(F10:G10)*360/'Income Statement'!F19</f>
        <v>16.776968367913405</v>
      </c>
      <c r="H11" s="217">
        <v>15.5</v>
      </c>
      <c r="I11" s="215">
        <f>H11</f>
        <v>15.5</v>
      </c>
      <c r="J11" s="215">
        <f t="shared" si="0"/>
        <v>15.5</v>
      </c>
      <c r="K11" s="216">
        <f t="shared" si="0"/>
        <v>15.5</v>
      </c>
    </row>
    <row r="12" spans="2:13" x14ac:dyDescent="0.3">
      <c r="B12" s="108"/>
      <c r="C12" s="19"/>
      <c r="D12" s="213"/>
      <c r="E12" s="19"/>
      <c r="F12" s="19"/>
      <c r="G12" s="19"/>
      <c r="H12" s="19"/>
      <c r="I12" s="19"/>
      <c r="J12" s="19"/>
      <c r="K12" s="114"/>
    </row>
    <row r="13" spans="2:13" x14ac:dyDescent="0.3">
      <c r="B13" s="212" t="s">
        <v>145</v>
      </c>
      <c r="C13" s="19"/>
      <c r="D13" s="19"/>
      <c r="E13" s="19"/>
      <c r="F13" s="19"/>
      <c r="G13" s="19"/>
      <c r="H13" s="19"/>
      <c r="I13" s="19"/>
      <c r="J13" s="19"/>
      <c r="K13" s="114"/>
    </row>
    <row r="14" spans="2:13" x14ac:dyDescent="0.3">
      <c r="B14" s="108">
        <v>4</v>
      </c>
      <c r="C14" s="19" t="s">
        <v>48</v>
      </c>
      <c r="D14" s="19"/>
      <c r="E14" s="158">
        <f>'Balance Sheet'!D30</f>
        <v>97210</v>
      </c>
      <c r="F14" s="158">
        <f>'Balance Sheet'!E30</f>
        <v>113286</v>
      </c>
      <c r="G14" s="158">
        <f>'Balance Sheet'!F30</f>
        <v>110468</v>
      </c>
      <c r="H14" s="116">
        <f>-H15*'Income Statement'!G6/360</f>
        <v>124457.28758458333</v>
      </c>
      <c r="I14" s="116">
        <f>-I15*'Income Statement'!H6/360</f>
        <v>133169.29771550416</v>
      </c>
      <c r="J14" s="116">
        <f>-J15*'Income Statement'!I6/360</f>
        <v>142491.14855558943</v>
      </c>
      <c r="K14" s="117">
        <f>-K15*'Income Statement'!J6/360</f>
        <v>152465.52895448072</v>
      </c>
      <c r="M14" t="s">
        <v>1</v>
      </c>
    </row>
    <row r="15" spans="2:13" x14ac:dyDescent="0.3">
      <c r="B15" s="108"/>
      <c r="C15" s="19"/>
      <c r="D15" s="213" t="s">
        <v>146</v>
      </c>
      <c r="E15" s="19"/>
      <c r="F15" s="19">
        <f>-AVERAGE(E14:F14)*360/'Income Statement'!E6</f>
        <v>48.14210385881097</v>
      </c>
      <c r="G15" s="19">
        <f>-AVERAGE(F14:G14)*360/'Income Statement'!F6</f>
        <v>45.403500544494072</v>
      </c>
      <c r="H15" s="217">
        <v>47</v>
      </c>
      <c r="I15" s="215">
        <f>H15</f>
        <v>47</v>
      </c>
      <c r="J15" s="215">
        <f t="shared" ref="J15:K15" si="1">I15</f>
        <v>47</v>
      </c>
      <c r="K15" s="216">
        <f t="shared" si="1"/>
        <v>47</v>
      </c>
    </row>
    <row r="16" spans="2:13" x14ac:dyDescent="0.3">
      <c r="B16" s="108">
        <v>5</v>
      </c>
      <c r="C16" s="19" t="s">
        <v>49</v>
      </c>
      <c r="D16" s="19"/>
      <c r="E16" s="158">
        <f>'Balance Sheet'!D31</f>
        <v>198033</v>
      </c>
      <c r="F16" s="158">
        <f>'Balance Sheet'!E31</f>
        <v>191928</v>
      </c>
      <c r="G16" s="158">
        <f>'Balance Sheet'!F31</f>
        <v>216870</v>
      </c>
      <c r="H16" s="116">
        <f>-H17*'Income Statement'!G19/360</f>
        <v>219786.27381958332</v>
      </c>
      <c r="I16" s="116">
        <f>-I17*'Income Statement'!H19/360</f>
        <v>235171.31298695417</v>
      </c>
      <c r="J16" s="116">
        <f>-J17*'Income Statement'!I19/360</f>
        <v>251633.30489604097</v>
      </c>
      <c r="K16" s="117">
        <f>-K17*'Income Statement'!J19/360</f>
        <v>269247.63623876381</v>
      </c>
      <c r="M16" t="s">
        <v>151</v>
      </c>
    </row>
    <row r="17" spans="2:13" x14ac:dyDescent="0.3">
      <c r="B17" s="108"/>
      <c r="C17" s="19"/>
      <c r="D17" s="213" t="s">
        <v>146</v>
      </c>
      <c r="E17" s="19"/>
      <c r="F17" s="214">
        <f>-AVERAGE(E16:F16)*360/'Income Statement'!E19</f>
        <v>43.695965189134675</v>
      </c>
      <c r="G17" s="214">
        <f>-AVERAGE(F16:G16)*360/'Income Statement'!F19</f>
        <v>39.052449122345195</v>
      </c>
      <c r="H17" s="215">
        <v>38</v>
      </c>
      <c r="I17" s="215">
        <f>H17</f>
        <v>38</v>
      </c>
      <c r="J17" s="215">
        <f t="shared" ref="J17:K17" si="2">I17</f>
        <v>38</v>
      </c>
      <c r="K17" s="216">
        <f t="shared" si="2"/>
        <v>38</v>
      </c>
    </row>
    <row r="18" spans="2:13" x14ac:dyDescent="0.3">
      <c r="B18" s="108">
        <v>6</v>
      </c>
      <c r="C18" s="19" t="s">
        <v>50</v>
      </c>
      <c r="D18" s="19"/>
      <c r="E18" s="158">
        <f>'Balance Sheet'!D32</f>
        <v>52546</v>
      </c>
      <c r="F18" s="158">
        <f>'Balance Sheet'!E32</f>
        <v>62733</v>
      </c>
      <c r="G18" s="158">
        <f>'Balance Sheet'!F32</f>
        <v>75062</v>
      </c>
      <c r="H18" s="116">
        <f>H19*'Income Statement'!G5/360</f>
        <v>72007.762506944448</v>
      </c>
      <c r="I18" s="116">
        <f>I19*'Income Statement'!H5/360</f>
        <v>77048.305882430563</v>
      </c>
      <c r="J18" s="116">
        <f>J19*'Income Statement'!I5/360</f>
        <v>82441.687294200703</v>
      </c>
      <c r="K18" s="117">
        <f>K19*'Income Statement'!J5/360</f>
        <v>88212.605404794755</v>
      </c>
      <c r="M18" t="s">
        <v>150</v>
      </c>
    </row>
    <row r="19" spans="2:13" x14ac:dyDescent="0.3">
      <c r="B19" s="108"/>
      <c r="C19" s="19"/>
      <c r="D19" s="213" t="s">
        <v>146</v>
      </c>
      <c r="E19" s="19"/>
      <c r="F19" s="214">
        <f>AVERAGE(E18:F18)*360/'Income Statement'!E5</f>
        <v>7.4876022858775935</v>
      </c>
      <c r="G19" s="214">
        <f>AVERAGE(F18:G18)*360/'Income Statement'!F5</f>
        <v>7.9343184520543959</v>
      </c>
      <c r="H19" s="215">
        <v>7.75</v>
      </c>
      <c r="I19" s="215">
        <f>H19</f>
        <v>7.75</v>
      </c>
      <c r="J19" s="215">
        <f t="shared" ref="J19:K19" si="3">I19</f>
        <v>7.75</v>
      </c>
      <c r="K19" s="216">
        <f t="shared" si="3"/>
        <v>7.75</v>
      </c>
    </row>
    <row r="20" spans="2:13" x14ac:dyDescent="0.3">
      <c r="B20" s="108">
        <v>7</v>
      </c>
      <c r="C20" s="160" t="s">
        <v>53</v>
      </c>
      <c r="D20" s="19"/>
      <c r="E20" s="158">
        <f>'Balance Sheet'!D35</f>
        <v>18317</v>
      </c>
      <c r="F20" s="158">
        <f>'Balance Sheet'!E35</f>
        <v>30246</v>
      </c>
      <c r="G20" s="158">
        <f>'Balance Sheet'!F35</f>
        <v>17838</v>
      </c>
      <c r="H20" s="116">
        <f>-H21*'Income Statement'!G21/360</f>
        <v>14610.252102847227</v>
      </c>
      <c r="I20" s="116">
        <f>-I21*'Income Statement'!H21/360</f>
        <v>16067.298111518794</v>
      </c>
      <c r="J20" s="116">
        <f>-J21*'Income Statement'!I21/360</f>
        <v>16797.434246813977</v>
      </c>
      <c r="K20" s="117">
        <f>-K21*'Income Statement'!J21/360</f>
        <v>5094.7748082311109</v>
      </c>
      <c r="M20" s="7" t="s">
        <v>152</v>
      </c>
    </row>
    <row r="21" spans="2:13" x14ac:dyDescent="0.3">
      <c r="B21" s="108"/>
      <c r="C21" s="19"/>
      <c r="D21" s="213" t="s">
        <v>146</v>
      </c>
      <c r="E21" s="19"/>
      <c r="F21" s="214">
        <f>-AVERAGE(E20:F20)*360/'Income Statement'!E21</f>
        <v>143.51710776909437</v>
      </c>
      <c r="G21" s="214">
        <f>-AVERAGE(F20:G20)*360/'Income Statement'!F21</f>
        <v>164.10299192294565</v>
      </c>
      <c r="H21" s="215">
        <v>155</v>
      </c>
      <c r="I21" s="215">
        <f>H21</f>
        <v>155</v>
      </c>
      <c r="J21" s="215">
        <f t="shared" ref="J21:K21" si="4">I21</f>
        <v>155</v>
      </c>
      <c r="K21" s="216">
        <f t="shared" si="4"/>
        <v>155</v>
      </c>
    </row>
    <row r="22" spans="2:13" x14ac:dyDescent="0.3">
      <c r="B22" s="108"/>
      <c r="C22" s="19"/>
      <c r="D22" s="19"/>
      <c r="E22" s="19"/>
      <c r="F22" s="19"/>
      <c r="G22" s="19"/>
      <c r="H22" s="19"/>
      <c r="I22" s="19"/>
      <c r="J22" s="19"/>
      <c r="K22" s="114"/>
    </row>
    <row r="23" spans="2:13" x14ac:dyDescent="0.3">
      <c r="B23" s="218" t="s">
        <v>147</v>
      </c>
      <c r="C23" s="19"/>
      <c r="D23" s="19"/>
      <c r="E23" s="120">
        <f t="shared" ref="E23:G23" si="5">E6+E8+E10-E14-E16-E18-E20</f>
        <v>-246979</v>
      </c>
      <c r="F23" s="120">
        <f t="shared" si="5"/>
        <v>-259442</v>
      </c>
      <c r="G23" s="120">
        <f t="shared" si="5"/>
        <v>-249630</v>
      </c>
      <c r="H23" s="120">
        <f>H6+H8+H10-H14-H16-H18-H20</f>
        <v>-272316.74279100692</v>
      </c>
      <c r="I23" s="120">
        <f t="shared" ref="I23:K23" si="6">I6+I8+I10-I14-I16-I18-I20</f>
        <v>-291813.24314784969</v>
      </c>
      <c r="J23" s="120">
        <f t="shared" si="6"/>
        <v>-311845.59543568804</v>
      </c>
      <c r="K23" s="128">
        <f t="shared" si="6"/>
        <v>-320796.30728032632</v>
      </c>
    </row>
    <row r="24" spans="2:13" x14ac:dyDescent="0.3">
      <c r="B24" s="219" t="s">
        <v>148</v>
      </c>
      <c r="C24" s="147"/>
      <c r="D24" s="147"/>
      <c r="E24" s="147"/>
      <c r="F24" s="210">
        <f t="shared" ref="F24:G24" si="7">F23-E23</f>
        <v>-12463</v>
      </c>
      <c r="G24" s="210">
        <f t="shared" si="7"/>
        <v>9812</v>
      </c>
      <c r="H24" s="210">
        <f>H23-G23</f>
        <v>-22686.742791006924</v>
      </c>
      <c r="I24" s="210">
        <f t="shared" ref="I24:K24" si="8">I23-H23</f>
        <v>-19496.500356842764</v>
      </c>
      <c r="J24" s="210">
        <f t="shared" si="8"/>
        <v>-20032.352287838352</v>
      </c>
      <c r="K24" s="211">
        <f t="shared" si="8"/>
        <v>-8950.711844638281</v>
      </c>
    </row>
    <row r="25" spans="2:13" x14ac:dyDescent="0.3">
      <c r="B25" s="8"/>
    </row>
  </sheetData>
  <mergeCells count="2">
    <mergeCell ref="E2:G2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6A2D7-47BC-41F0-9ED9-7AD4837306DD}">
  <dimension ref="A2:L36"/>
  <sheetViews>
    <sheetView zoomScale="115" zoomScaleNormal="115" workbookViewId="0">
      <selection activeCell="L24" sqref="L24"/>
    </sheetView>
  </sheetViews>
  <sheetFormatPr defaultRowHeight="14.4" x14ac:dyDescent="0.3"/>
  <cols>
    <col min="2" max="2" width="2.77734375" customWidth="1"/>
    <col min="3" max="3" width="3.77734375" customWidth="1"/>
    <col min="4" max="4" width="35.77734375" customWidth="1"/>
    <col min="8" max="8" width="11.44140625" bestFit="1" customWidth="1"/>
    <col min="9" max="11" width="11.77734375" bestFit="1" customWidth="1"/>
  </cols>
  <sheetData>
    <row r="2" spans="1:12" x14ac:dyDescent="0.3">
      <c r="B2" s="112"/>
      <c r="C2" s="113"/>
      <c r="D2" s="113"/>
      <c r="E2" s="262" t="s">
        <v>302</v>
      </c>
      <c r="F2" s="262"/>
      <c r="G2" s="262"/>
      <c r="H2" s="263" t="s">
        <v>303</v>
      </c>
      <c r="I2" s="263"/>
      <c r="J2" s="263"/>
      <c r="K2" s="264"/>
      <c r="L2" s="14"/>
    </row>
    <row r="3" spans="1:12" ht="15" thickBot="1" x14ac:dyDescent="0.35">
      <c r="A3" s="14"/>
      <c r="B3" s="109" t="s">
        <v>304</v>
      </c>
      <c r="C3" s="220"/>
      <c r="D3" s="220"/>
      <c r="E3" s="110" t="s">
        <v>139</v>
      </c>
      <c r="F3" s="110" t="s">
        <v>140</v>
      </c>
      <c r="G3" s="110" t="s">
        <v>141</v>
      </c>
      <c r="H3" s="110" t="s">
        <v>305</v>
      </c>
      <c r="I3" s="110" t="s">
        <v>306</v>
      </c>
      <c r="J3" s="110" t="s">
        <v>307</v>
      </c>
      <c r="K3" s="111" t="s">
        <v>308</v>
      </c>
      <c r="L3" s="14"/>
    </row>
    <row r="4" spans="1:12" x14ac:dyDescent="0.3">
      <c r="A4" s="14"/>
      <c r="B4" s="108"/>
      <c r="C4" s="19"/>
      <c r="D4" s="19"/>
      <c r="E4" s="156"/>
      <c r="F4" s="156"/>
      <c r="G4" s="156"/>
      <c r="H4" s="156"/>
      <c r="I4" s="156"/>
      <c r="J4" s="156"/>
      <c r="K4" s="157"/>
      <c r="L4" s="14"/>
    </row>
    <row r="5" spans="1:12" x14ac:dyDescent="0.3">
      <c r="A5" s="14"/>
      <c r="B5" s="221" t="s">
        <v>192</v>
      </c>
      <c r="C5" s="17"/>
      <c r="D5" s="17"/>
      <c r="E5" s="17"/>
      <c r="F5" s="17"/>
      <c r="G5" s="17"/>
      <c r="H5" s="17"/>
      <c r="I5" s="17"/>
      <c r="J5" s="17"/>
      <c r="K5" s="137"/>
      <c r="L5" s="14"/>
    </row>
    <row r="6" spans="1:12" x14ac:dyDescent="0.3">
      <c r="A6" s="14"/>
      <c r="B6" s="134"/>
      <c r="C6" s="222" t="s">
        <v>193</v>
      </c>
      <c r="D6" s="17"/>
      <c r="E6" s="17"/>
      <c r="F6" s="17"/>
      <c r="G6" s="17"/>
      <c r="H6" s="63">
        <f>G31</f>
        <v>242162</v>
      </c>
      <c r="I6" s="63">
        <f ca="1">H31</f>
        <v>366143.83406311541</v>
      </c>
      <c r="J6" s="63">
        <f t="shared" ref="J6" ca="1" si="0">I31</f>
        <v>846452.83562632743</v>
      </c>
      <c r="K6" s="195">
        <f ca="1">J31</f>
        <v>118170.62933781464</v>
      </c>
      <c r="L6" s="14"/>
    </row>
    <row r="7" spans="1:12" x14ac:dyDescent="0.3">
      <c r="A7" s="14"/>
      <c r="B7" s="134"/>
      <c r="C7" s="222" t="s">
        <v>194</v>
      </c>
      <c r="D7" s="17"/>
      <c r="E7" s="17"/>
      <c r="F7" s="17"/>
      <c r="G7" s="17"/>
      <c r="H7" s="66">
        <f ca="1">'Cash Flow Statement'!G65</f>
        <v>123981.83406311538</v>
      </c>
      <c r="I7" s="66">
        <f ca="1">'Cash Flow Statement'!H65</f>
        <v>80309.001563211961</v>
      </c>
      <c r="J7" s="66">
        <f ca="1">'Cash Flow Statement'!I65</f>
        <v>-728282.2062885128</v>
      </c>
      <c r="K7" s="223">
        <f ca="1">'Cash Flow Statement'!J65</f>
        <v>114306.4550641986</v>
      </c>
      <c r="L7" s="14"/>
    </row>
    <row r="8" spans="1:12" x14ac:dyDescent="0.3">
      <c r="A8" s="14"/>
      <c r="B8" s="134"/>
      <c r="C8" s="222" t="s">
        <v>195</v>
      </c>
      <c r="D8" s="17"/>
      <c r="E8" s="17"/>
      <c r="F8" s="17"/>
      <c r="G8" s="17"/>
      <c r="H8" s="63">
        <v>0</v>
      </c>
      <c r="I8" s="63">
        <v>0</v>
      </c>
      <c r="J8" s="63">
        <v>0</v>
      </c>
      <c r="K8" s="195">
        <v>0</v>
      </c>
      <c r="L8" s="14"/>
    </row>
    <row r="9" spans="1:12" x14ac:dyDescent="0.3">
      <c r="A9" s="14"/>
      <c r="B9" s="134"/>
      <c r="C9" s="224" t="s">
        <v>196</v>
      </c>
      <c r="D9" s="17"/>
      <c r="E9" s="17"/>
      <c r="F9" s="17"/>
      <c r="G9" s="17"/>
      <c r="H9" s="63">
        <f ca="1">SUM(H6:H8)</f>
        <v>366143.83406311541</v>
      </c>
      <c r="I9" s="63">
        <f t="shared" ref="I9:K9" ca="1" si="1">SUM(I6:I8)</f>
        <v>446452.83562632737</v>
      </c>
      <c r="J9" s="63">
        <f t="shared" ca="1" si="1"/>
        <v>118170.62933781464</v>
      </c>
      <c r="K9" s="195">
        <f t="shared" ca="1" si="1"/>
        <v>232477.08440201322</v>
      </c>
      <c r="L9" s="14"/>
    </row>
    <row r="10" spans="1:12" x14ac:dyDescent="0.3">
      <c r="A10" s="14"/>
      <c r="B10" s="134"/>
      <c r="C10" s="17"/>
      <c r="D10" s="17"/>
      <c r="E10" s="17"/>
      <c r="F10" s="17"/>
      <c r="G10" s="17"/>
      <c r="H10" s="17"/>
      <c r="I10" s="17"/>
      <c r="J10" s="17"/>
      <c r="K10" s="137"/>
      <c r="L10" s="14"/>
    </row>
    <row r="11" spans="1:12" x14ac:dyDescent="0.3">
      <c r="A11" s="14"/>
      <c r="B11" s="221" t="s">
        <v>197</v>
      </c>
      <c r="C11" s="222"/>
      <c r="D11" s="222"/>
      <c r="E11" s="17"/>
      <c r="F11" s="17"/>
      <c r="G11" s="17"/>
      <c r="H11" s="17"/>
      <c r="I11" s="17"/>
      <c r="J11" s="17"/>
      <c r="K11" s="137"/>
      <c r="L11" s="14"/>
    </row>
    <row r="12" spans="1:12" x14ac:dyDescent="0.3">
      <c r="A12" s="14"/>
      <c r="B12" s="221"/>
      <c r="C12" s="222" t="s">
        <v>198</v>
      </c>
      <c r="D12" s="222"/>
      <c r="E12" s="17"/>
      <c r="F12" s="17"/>
      <c r="G12" s="17"/>
      <c r="H12" s="63">
        <f>G15</f>
        <v>112357</v>
      </c>
      <c r="I12" s="63">
        <f t="shared" ref="I12:K12" si="2">H15</f>
        <v>112357</v>
      </c>
      <c r="J12" s="63">
        <f t="shared" si="2"/>
        <v>412357</v>
      </c>
      <c r="K12" s="195">
        <f t="shared" si="2"/>
        <v>412357</v>
      </c>
      <c r="L12" s="14"/>
    </row>
    <row r="13" spans="1:12" x14ac:dyDescent="0.3">
      <c r="A13" s="14"/>
      <c r="B13" s="221"/>
      <c r="C13" s="222" t="s">
        <v>199</v>
      </c>
      <c r="D13" s="222"/>
      <c r="E13" s="17"/>
      <c r="F13" s="17"/>
      <c r="G13" s="17"/>
      <c r="H13" s="17">
        <v>0</v>
      </c>
      <c r="I13" s="63">
        <v>200000</v>
      </c>
      <c r="J13" s="17">
        <v>0</v>
      </c>
      <c r="K13" s="137">
        <v>0</v>
      </c>
      <c r="L13" s="14"/>
    </row>
    <row r="14" spans="1:12" x14ac:dyDescent="0.3">
      <c r="A14" s="14"/>
      <c r="B14" s="221"/>
      <c r="C14" s="222" t="s">
        <v>200</v>
      </c>
      <c r="D14" s="222"/>
      <c r="E14" s="17"/>
      <c r="F14" s="17"/>
      <c r="G14" s="17"/>
      <c r="H14" s="17">
        <v>0</v>
      </c>
      <c r="I14" s="63">
        <v>100000</v>
      </c>
      <c r="J14" s="17">
        <v>0</v>
      </c>
      <c r="K14" s="137">
        <v>0</v>
      </c>
      <c r="L14" s="14"/>
    </row>
    <row r="15" spans="1:12" x14ac:dyDescent="0.3">
      <c r="A15" s="14"/>
      <c r="B15" s="225"/>
      <c r="C15" s="224" t="s">
        <v>201</v>
      </c>
      <c r="D15" s="226"/>
      <c r="E15" s="17"/>
      <c r="F15" s="17"/>
      <c r="G15" s="63">
        <f>'Balance Sheet'!F34</f>
        <v>112357</v>
      </c>
      <c r="H15" s="63">
        <f>SUM(H12:H14)</f>
        <v>112357</v>
      </c>
      <c r="I15" s="63">
        <f t="shared" ref="I15:K15" si="3">SUM(I12:I14)</f>
        <v>412357</v>
      </c>
      <c r="J15" s="63">
        <f t="shared" si="3"/>
        <v>412357</v>
      </c>
      <c r="K15" s="195">
        <f t="shared" si="3"/>
        <v>412357</v>
      </c>
      <c r="L15" s="14"/>
    </row>
    <row r="16" spans="1:12" x14ac:dyDescent="0.3">
      <c r="A16" s="14"/>
      <c r="B16" s="221"/>
      <c r="C16" s="222" t="s">
        <v>202</v>
      </c>
      <c r="D16" s="227"/>
      <c r="E16" s="17"/>
      <c r="F16" s="17"/>
      <c r="G16" s="17"/>
      <c r="H16" s="17">
        <f>AVERAGE(H12,H15)*H17</f>
        <v>2808.9250000000002</v>
      </c>
      <c r="I16" s="17">
        <f t="shared" ref="I16:K16" si="4">AVERAGE(I12,I15)*I17</f>
        <v>6558.9250000000002</v>
      </c>
      <c r="J16" s="17">
        <f t="shared" si="4"/>
        <v>10308.925000000001</v>
      </c>
      <c r="K16" s="137">
        <f t="shared" si="4"/>
        <v>10308.925000000001</v>
      </c>
      <c r="L16" s="14"/>
    </row>
    <row r="17" spans="1:12" x14ac:dyDescent="0.3">
      <c r="A17" s="14"/>
      <c r="B17" s="221"/>
      <c r="C17" s="17"/>
      <c r="D17" s="228" t="s">
        <v>203</v>
      </c>
      <c r="E17" s="17"/>
      <c r="F17" s="17"/>
      <c r="G17" s="17"/>
      <c r="H17" s="229">
        <v>2.5000000000000001E-2</v>
      </c>
      <c r="I17" s="229">
        <v>2.5000000000000001E-2</v>
      </c>
      <c r="J17" s="229">
        <v>2.5000000000000001E-2</v>
      </c>
      <c r="K17" s="230">
        <v>2.5000000000000001E-2</v>
      </c>
      <c r="L17" s="14"/>
    </row>
    <row r="18" spans="1:12" x14ac:dyDescent="0.3">
      <c r="A18" s="14"/>
      <c r="B18" s="221"/>
      <c r="C18" s="17"/>
      <c r="D18" s="228"/>
      <c r="E18" s="17"/>
      <c r="F18" s="17"/>
      <c r="G18" s="17"/>
      <c r="H18" s="17"/>
      <c r="I18" s="17"/>
      <c r="J18" s="17"/>
      <c r="K18" s="137"/>
      <c r="L18" s="14"/>
    </row>
    <row r="19" spans="1:12" x14ac:dyDescent="0.3">
      <c r="A19" s="14"/>
      <c r="B19" s="221" t="s">
        <v>210</v>
      </c>
      <c r="C19" s="222"/>
      <c r="D19" s="222"/>
      <c r="E19" s="17"/>
      <c r="F19" s="17"/>
      <c r="G19" s="17"/>
      <c r="H19" s="17"/>
      <c r="I19" s="17"/>
      <c r="J19" s="17"/>
      <c r="K19" s="137"/>
      <c r="L19" s="14"/>
    </row>
    <row r="20" spans="1:12" x14ac:dyDescent="0.3">
      <c r="A20" s="14"/>
      <c r="B20" s="221"/>
      <c r="C20" s="222" t="s">
        <v>211</v>
      </c>
      <c r="D20" s="222"/>
      <c r="E20" s="17"/>
      <c r="F20" s="17"/>
      <c r="G20" s="17"/>
      <c r="H20" s="63">
        <f>G23</f>
        <v>424802</v>
      </c>
      <c r="I20" s="63">
        <f t="shared" ref="I20:K20" si="5">H23</f>
        <v>424802</v>
      </c>
      <c r="J20" s="63">
        <f t="shared" si="5"/>
        <v>524802</v>
      </c>
      <c r="K20" s="195">
        <f t="shared" si="5"/>
        <v>524802</v>
      </c>
      <c r="L20" s="14"/>
    </row>
    <row r="21" spans="1:12" x14ac:dyDescent="0.3">
      <c r="A21" s="14"/>
      <c r="B21" s="221"/>
      <c r="C21" s="222" t="s">
        <v>199</v>
      </c>
      <c r="D21" s="222"/>
      <c r="E21" s="17"/>
      <c r="F21" s="17"/>
      <c r="G21" s="17"/>
      <c r="H21" s="17">
        <v>0</v>
      </c>
      <c r="I21" s="63">
        <v>0</v>
      </c>
      <c r="J21" s="17">
        <v>0</v>
      </c>
      <c r="K21" s="137">
        <v>0</v>
      </c>
      <c r="L21" s="14"/>
    </row>
    <row r="22" spans="1:12" x14ac:dyDescent="0.3">
      <c r="A22" s="14"/>
      <c r="B22" s="221"/>
      <c r="C22" s="222" t="s">
        <v>200</v>
      </c>
      <c r="D22" s="222"/>
      <c r="E22" s="17"/>
      <c r="F22" s="17"/>
      <c r="G22" s="17"/>
      <c r="H22" s="17">
        <v>0</v>
      </c>
      <c r="I22" s="63">
        <v>100000</v>
      </c>
      <c r="J22" s="17">
        <v>0</v>
      </c>
      <c r="K22" s="137">
        <v>0</v>
      </c>
      <c r="L22" s="14"/>
    </row>
    <row r="23" spans="1:12" x14ac:dyDescent="0.3">
      <c r="A23" s="14"/>
      <c r="B23" s="225"/>
      <c r="C23" s="224" t="s">
        <v>212</v>
      </c>
      <c r="D23" s="226"/>
      <c r="E23" s="17"/>
      <c r="F23" s="17"/>
      <c r="G23" s="63">
        <f>'Balance Sheet'!F40</f>
        <v>424802</v>
      </c>
      <c r="H23" s="63">
        <f>SUM(H20:H22)</f>
        <v>424802</v>
      </c>
      <c r="I23" s="63">
        <f t="shared" ref="I23:K23" si="6">SUM(I20:I22)</f>
        <v>524802</v>
      </c>
      <c r="J23" s="63">
        <f t="shared" si="6"/>
        <v>524802</v>
      </c>
      <c r="K23" s="195">
        <f t="shared" si="6"/>
        <v>524802</v>
      </c>
      <c r="L23" s="14"/>
    </row>
    <row r="24" spans="1:12" x14ac:dyDescent="0.3">
      <c r="A24" s="14"/>
      <c r="B24" s="221"/>
      <c r="C24" s="222" t="s">
        <v>213</v>
      </c>
      <c r="D24" s="227"/>
      <c r="E24" s="17"/>
      <c r="F24" s="17"/>
      <c r="G24" s="17"/>
      <c r="H24" s="17">
        <f>AVERAGE(H20,H23)*H25</f>
        <v>17841.684000000001</v>
      </c>
      <c r="I24" s="17">
        <f t="shared" ref="I24:K24" si="7">AVERAGE(I20,I23)*I25</f>
        <v>19941.684000000001</v>
      </c>
      <c r="J24" s="17">
        <f t="shared" si="7"/>
        <v>22041.684000000001</v>
      </c>
      <c r="K24" s="137">
        <f t="shared" si="7"/>
        <v>22041.684000000001</v>
      </c>
      <c r="L24" s="14"/>
    </row>
    <row r="25" spans="1:12" x14ac:dyDescent="0.3">
      <c r="A25" s="14"/>
      <c r="B25" s="221"/>
      <c r="C25" s="17"/>
      <c r="D25" s="228" t="s">
        <v>214</v>
      </c>
      <c r="E25" s="17"/>
      <c r="F25" s="17"/>
      <c r="G25" s="17"/>
      <c r="H25" s="229">
        <v>4.2000000000000003E-2</v>
      </c>
      <c r="I25" s="229">
        <v>4.2000000000000003E-2</v>
      </c>
      <c r="J25" s="229">
        <v>4.2000000000000003E-2</v>
      </c>
      <c r="K25" s="230">
        <v>4.2000000000000003E-2</v>
      </c>
      <c r="L25" s="14"/>
    </row>
    <row r="26" spans="1:12" x14ac:dyDescent="0.3">
      <c r="A26" s="14"/>
      <c r="B26" s="221"/>
      <c r="C26" s="17"/>
      <c r="D26" s="228"/>
      <c r="E26" s="17"/>
      <c r="F26" s="17"/>
      <c r="G26" s="17"/>
      <c r="H26" s="17"/>
      <c r="I26" s="17"/>
      <c r="J26" s="17"/>
      <c r="K26" s="137"/>
      <c r="L26" s="14"/>
    </row>
    <row r="27" spans="1:12" x14ac:dyDescent="0.3">
      <c r="A27" s="14"/>
      <c r="B27" s="134"/>
      <c r="C27" s="224" t="s">
        <v>204</v>
      </c>
      <c r="D27" s="222"/>
      <c r="E27" s="17"/>
      <c r="F27" s="17"/>
      <c r="G27" s="17"/>
      <c r="H27" s="17">
        <f>SUM(H13:H14)+SUM(H21:H22)</f>
        <v>0</v>
      </c>
      <c r="I27" s="17">
        <f t="shared" ref="I27:K27" si="8">SUM(I13:I14)+SUM(I21:I22)</f>
        <v>400000</v>
      </c>
      <c r="J27" s="17">
        <f t="shared" si="8"/>
        <v>0</v>
      </c>
      <c r="K27" s="137">
        <f t="shared" si="8"/>
        <v>0</v>
      </c>
      <c r="L27" s="14"/>
    </row>
    <row r="28" spans="1:12" x14ac:dyDescent="0.3">
      <c r="A28" s="14"/>
      <c r="B28" s="134"/>
      <c r="C28" s="17"/>
      <c r="D28" s="17"/>
      <c r="E28" s="17"/>
      <c r="F28" s="17"/>
      <c r="G28" s="17"/>
      <c r="H28" s="17"/>
      <c r="I28" s="17"/>
      <c r="J28" s="17"/>
      <c r="K28" s="137"/>
      <c r="L28" s="14"/>
    </row>
    <row r="29" spans="1:12" x14ac:dyDescent="0.3">
      <c r="A29" s="14"/>
      <c r="B29" s="134"/>
      <c r="C29" s="224" t="s">
        <v>205</v>
      </c>
      <c r="D29" s="222"/>
      <c r="E29" s="17"/>
      <c r="F29" s="17"/>
      <c r="G29" s="17"/>
      <c r="H29" s="66">
        <f>H16+H24</f>
        <v>20650.609</v>
      </c>
      <c r="I29" s="66">
        <f t="shared" ref="I29:K29" si="9">I16+I24</f>
        <v>26500.609</v>
      </c>
      <c r="J29" s="66">
        <f t="shared" si="9"/>
        <v>32350.609000000004</v>
      </c>
      <c r="K29" s="223">
        <f t="shared" si="9"/>
        <v>32350.609000000004</v>
      </c>
      <c r="L29" s="14"/>
    </row>
    <row r="30" spans="1:12" x14ac:dyDescent="0.3">
      <c r="A30" s="14"/>
      <c r="B30" s="134"/>
      <c r="C30" s="17"/>
      <c r="D30" s="17"/>
      <c r="E30" s="17"/>
      <c r="F30" s="17"/>
      <c r="G30" s="17"/>
      <c r="H30" s="19"/>
      <c r="I30" s="19"/>
      <c r="J30" s="19"/>
      <c r="K30" s="114"/>
    </row>
    <row r="31" spans="1:12" x14ac:dyDescent="0.3">
      <c r="A31" s="14"/>
      <c r="B31" s="134"/>
      <c r="C31" s="224" t="s">
        <v>206</v>
      </c>
      <c r="D31" s="222"/>
      <c r="E31" s="17"/>
      <c r="F31" s="17"/>
      <c r="G31" s="63">
        <f>'Balance Sheet'!F25</f>
        <v>242162</v>
      </c>
      <c r="H31" s="125">
        <f ca="1">H6+H7+H27</f>
        <v>366143.83406311541</v>
      </c>
      <c r="I31" s="125">
        <f t="shared" ref="I31:K31" ca="1" si="10">I6+I7+I27</f>
        <v>846452.83562632743</v>
      </c>
      <c r="J31" s="125">
        <f t="shared" ca="1" si="10"/>
        <v>118170.62933781464</v>
      </c>
      <c r="K31" s="126">
        <f t="shared" ca="1" si="10"/>
        <v>232477.08440201322</v>
      </c>
    </row>
    <row r="32" spans="1:12" x14ac:dyDescent="0.3">
      <c r="A32" s="14"/>
      <c r="B32" s="134"/>
      <c r="C32" s="222" t="s">
        <v>207</v>
      </c>
      <c r="D32" s="231"/>
      <c r="E32" s="17"/>
      <c r="F32" s="17"/>
      <c r="G32" s="17"/>
      <c r="H32" s="214">
        <f ca="1">AVERAGE(H6,H31)*H33</f>
        <v>3041.5291703155772</v>
      </c>
      <c r="I32" s="214">
        <f t="shared" ref="I32:K32" ca="1" si="11">AVERAGE(I6,I31)*I33</f>
        <v>6062.9833484472147</v>
      </c>
      <c r="J32" s="214">
        <f t="shared" ca="1" si="11"/>
        <v>4823.1173248207106</v>
      </c>
      <c r="K32" s="232">
        <f t="shared" ca="1" si="11"/>
        <v>1753.2385686991393</v>
      </c>
    </row>
    <row r="33" spans="1:11" x14ac:dyDescent="0.3">
      <c r="A33" s="14"/>
      <c r="B33" s="140"/>
      <c r="C33" s="141"/>
      <c r="D33" s="233" t="s">
        <v>208</v>
      </c>
      <c r="E33" s="141"/>
      <c r="F33" s="141"/>
      <c r="G33" s="141"/>
      <c r="H33" s="234">
        <v>0.01</v>
      </c>
      <c r="I33" s="234">
        <v>0.01</v>
      </c>
      <c r="J33" s="234">
        <v>0.01</v>
      </c>
      <c r="K33" s="235">
        <v>0.01</v>
      </c>
    </row>
    <row r="34" spans="1:11" x14ac:dyDescent="0.3">
      <c r="A34" s="14"/>
      <c r="B34" s="14"/>
      <c r="C34" s="14"/>
      <c r="D34" s="14"/>
      <c r="E34" s="14"/>
      <c r="F34" s="14"/>
      <c r="G34" s="14"/>
    </row>
    <row r="35" spans="1:11" x14ac:dyDescent="0.3">
      <c r="A35" s="14"/>
      <c r="B35" s="14"/>
      <c r="C35" s="14"/>
      <c r="D35" s="14" t="s">
        <v>311</v>
      </c>
      <c r="E35" s="14"/>
      <c r="F35" s="14"/>
      <c r="G35" s="14"/>
    </row>
    <row r="36" spans="1:11" x14ac:dyDescent="0.3">
      <c r="D36" t="s">
        <v>215</v>
      </c>
    </row>
  </sheetData>
  <mergeCells count="2">
    <mergeCell ref="E2:G2"/>
    <mergeCell ref="H2:K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DE5CC-73F7-41AA-A4A8-C49339DB122F}">
  <dimension ref="A2:O39"/>
  <sheetViews>
    <sheetView workbookViewId="0">
      <selection activeCell="C22" sqref="C22:F25"/>
    </sheetView>
  </sheetViews>
  <sheetFormatPr defaultRowHeight="14.4" x14ac:dyDescent="0.3"/>
  <cols>
    <col min="2" max="2" width="26.6640625" bestFit="1" customWidth="1"/>
    <col min="5" max="5" width="13.88671875" bestFit="1" customWidth="1"/>
    <col min="6" max="6" width="15.44140625" bestFit="1" customWidth="1"/>
    <col min="7" max="8" width="11.33203125" bestFit="1" customWidth="1"/>
    <col min="9" max="9" width="12.77734375" bestFit="1" customWidth="1"/>
    <col min="10" max="10" width="11.33203125" bestFit="1" customWidth="1"/>
    <col min="15" max="15" width="13" bestFit="1" customWidth="1"/>
  </cols>
  <sheetData>
    <row r="2" spans="1:14" x14ac:dyDescent="0.3">
      <c r="A2" s="14"/>
      <c r="B2" s="112"/>
      <c r="C2" s="113"/>
      <c r="D2" s="262" t="s">
        <v>302</v>
      </c>
      <c r="E2" s="262"/>
      <c r="F2" s="262"/>
      <c r="G2" s="263" t="s">
        <v>303</v>
      </c>
      <c r="H2" s="263"/>
      <c r="I2" s="263"/>
      <c r="J2" s="264"/>
      <c r="K2" s="14"/>
    </row>
    <row r="3" spans="1:14" ht="15" thickBot="1" x14ac:dyDescent="0.35">
      <c r="A3" s="17"/>
      <c r="B3" s="109" t="s">
        <v>304</v>
      </c>
      <c r="C3" s="19"/>
      <c r="D3" s="110" t="s">
        <v>139</v>
      </c>
      <c r="E3" s="110" t="s">
        <v>140</v>
      </c>
      <c r="F3" s="110" t="s">
        <v>141</v>
      </c>
      <c r="G3" s="110" t="s">
        <v>305</v>
      </c>
      <c r="H3" s="110" t="s">
        <v>306</v>
      </c>
      <c r="I3" s="110" t="s">
        <v>307</v>
      </c>
      <c r="J3" s="111" t="s">
        <v>308</v>
      </c>
      <c r="K3" s="17"/>
      <c r="L3" s="19"/>
      <c r="M3" s="19"/>
      <c r="N3" s="19"/>
    </row>
    <row r="4" spans="1:14" x14ac:dyDescent="0.3">
      <c r="A4" s="17"/>
      <c r="B4" s="134"/>
      <c r="C4" s="17"/>
      <c r="D4" s="17"/>
      <c r="E4" s="17"/>
      <c r="F4" s="17"/>
      <c r="G4" s="17"/>
      <c r="H4" s="17"/>
      <c r="I4" s="17"/>
      <c r="J4" s="137"/>
      <c r="K4" s="17"/>
      <c r="L4" s="19"/>
      <c r="M4" s="19"/>
      <c r="N4" s="19"/>
    </row>
    <row r="5" spans="1:14" x14ac:dyDescent="0.3">
      <c r="B5" s="35" t="s">
        <v>218</v>
      </c>
      <c r="C5" s="21"/>
      <c r="D5" s="17"/>
      <c r="E5" s="17"/>
      <c r="F5" s="17"/>
      <c r="G5" s="17"/>
      <c r="H5" s="17"/>
      <c r="I5" s="17"/>
      <c r="J5" s="137"/>
      <c r="K5" s="17"/>
      <c r="L5" s="19"/>
      <c r="M5" s="19"/>
      <c r="N5" s="19"/>
    </row>
    <row r="6" spans="1:14" x14ac:dyDescent="0.3">
      <c r="A6" s="20"/>
      <c r="B6" s="31" t="s">
        <v>167</v>
      </c>
      <c r="C6" s="21"/>
      <c r="D6" s="63"/>
      <c r="E6" s="63"/>
      <c r="F6" s="63"/>
      <c r="G6" s="66">
        <f>'Income Statement'!G25</f>
        <v>322199.25377500005</v>
      </c>
      <c r="H6" s="66">
        <f>'Income Statement'!H25</f>
        <v>340348.74416925048</v>
      </c>
      <c r="I6" s="66">
        <f>'Income Statement'!I25</f>
        <v>360178.1988910978</v>
      </c>
      <c r="J6" s="223">
        <f>'Income Statement'!J25</f>
        <v>387655.21544347447</v>
      </c>
      <c r="K6" s="17"/>
      <c r="L6" s="19"/>
      <c r="M6" s="19"/>
      <c r="N6" s="19"/>
    </row>
    <row r="7" spans="1:14" x14ac:dyDescent="0.3">
      <c r="A7" s="20"/>
      <c r="B7" s="31" t="s">
        <v>219</v>
      </c>
      <c r="C7" s="21"/>
      <c r="D7" s="63"/>
      <c r="E7" s="63"/>
      <c r="F7" s="63"/>
      <c r="G7" s="66">
        <f>-Depreciation!G8</f>
        <v>152531.81</v>
      </c>
      <c r="H7" s="66">
        <f>-Depreciation!H8</f>
        <v>153760.76609999998</v>
      </c>
      <c r="I7" s="66">
        <f>-Depreciation!I8</f>
        <v>165111.22054099999</v>
      </c>
      <c r="J7" s="223">
        <f>-Depreciation!J8</f>
        <v>328490.08863820997</v>
      </c>
      <c r="K7" s="17"/>
      <c r="L7" s="19"/>
      <c r="M7" s="19"/>
      <c r="N7" s="19"/>
    </row>
    <row r="8" spans="1:14" x14ac:dyDescent="0.3">
      <c r="A8" s="20"/>
      <c r="B8" s="31" t="s">
        <v>220</v>
      </c>
      <c r="C8" s="21"/>
      <c r="D8" s="17"/>
      <c r="E8" s="17"/>
      <c r="F8" s="17"/>
      <c r="G8" s="67"/>
      <c r="H8" s="67"/>
      <c r="I8" s="67"/>
      <c r="J8" s="236"/>
      <c r="K8" s="17"/>
      <c r="L8" s="19"/>
      <c r="M8" s="19"/>
      <c r="N8" s="19"/>
    </row>
    <row r="9" spans="1:14" x14ac:dyDescent="0.3">
      <c r="A9" s="20"/>
      <c r="B9" s="31" t="s">
        <v>221</v>
      </c>
      <c r="C9" s="21"/>
      <c r="D9" s="17"/>
      <c r="E9" s="17"/>
      <c r="F9" s="17"/>
      <c r="G9" s="67"/>
      <c r="H9" s="67"/>
      <c r="I9" s="67"/>
      <c r="J9" s="236"/>
      <c r="K9" s="17"/>
      <c r="L9" s="19"/>
      <c r="M9" s="19"/>
      <c r="N9" s="19"/>
    </row>
    <row r="10" spans="1:14" x14ac:dyDescent="0.3">
      <c r="A10" s="20"/>
      <c r="B10" s="31" t="s">
        <v>222</v>
      </c>
      <c r="C10" s="21"/>
      <c r="D10" s="63"/>
      <c r="E10" s="17"/>
      <c r="F10" s="17"/>
      <c r="G10" s="66">
        <f>-'Operating Working Capital'!H24</f>
        <v>22686.742791006924</v>
      </c>
      <c r="H10" s="66">
        <f>-'Operating Working Capital'!I24</f>
        <v>19496.500356842764</v>
      </c>
      <c r="I10" s="66">
        <f>-'Operating Working Capital'!J24</f>
        <v>20032.352287838352</v>
      </c>
      <c r="J10" s="223">
        <f>-'Operating Working Capital'!K24</f>
        <v>8950.711844638281</v>
      </c>
      <c r="K10" s="17"/>
      <c r="L10" s="19"/>
      <c r="M10" s="19"/>
      <c r="N10" s="19"/>
    </row>
    <row r="11" spans="1:14" x14ac:dyDescent="0.3">
      <c r="A11" s="20"/>
      <c r="B11" s="31" t="s">
        <v>223</v>
      </c>
      <c r="C11" s="21"/>
      <c r="D11" s="17"/>
      <c r="E11" s="17"/>
      <c r="F11" s="17"/>
      <c r="G11" s="66">
        <f>Depreciation!G6</f>
        <v>-159000</v>
      </c>
      <c r="H11" s="66">
        <f>Depreciation!H6</f>
        <v>-213500</v>
      </c>
      <c r="I11" s="66">
        <f>Depreciation!I6</f>
        <v>-1025000</v>
      </c>
      <c r="J11" s="223">
        <f>Depreciation!J6</f>
        <v>-245857.06796691183</v>
      </c>
      <c r="K11" s="17"/>
      <c r="L11" s="19"/>
      <c r="M11" s="19"/>
      <c r="N11" s="19"/>
    </row>
    <row r="12" spans="1:14" x14ac:dyDescent="0.3">
      <c r="A12" s="20"/>
      <c r="B12" s="31" t="s">
        <v>224</v>
      </c>
      <c r="C12" s="21"/>
      <c r="D12" s="17"/>
      <c r="E12" s="17"/>
      <c r="F12" s="17"/>
      <c r="G12" s="66">
        <f>'Cash Flow Statement'!G31</f>
        <v>-33933.488755000013</v>
      </c>
      <c r="H12" s="66">
        <f>'Cash Flow Statement'!H31</f>
        <v>-37317.595613850099</v>
      </c>
      <c r="I12" s="66">
        <f>'Cash Flow Statement'!I31</f>
        <v>-39013.395670019556</v>
      </c>
      <c r="J12" s="223">
        <f>'Cash Flow Statement'!J31</f>
        <v>-11833.025361052902</v>
      </c>
      <c r="K12" s="17"/>
      <c r="L12" s="19"/>
      <c r="M12" s="19"/>
      <c r="N12" s="19"/>
    </row>
    <row r="13" spans="1:14" x14ac:dyDescent="0.3">
      <c r="B13" s="35" t="s">
        <v>225</v>
      </c>
      <c r="C13" s="20"/>
      <c r="D13" s="17"/>
      <c r="E13" s="17"/>
      <c r="F13" s="17"/>
      <c r="G13" s="66">
        <f>SUM(G6:G12)</f>
        <v>304484.31781100697</v>
      </c>
      <c r="H13" s="66">
        <f t="shared" ref="H13:J13" si="0">SUM(H6:H12)</f>
        <v>262788.41501224315</v>
      </c>
      <c r="I13" s="66">
        <f t="shared" si="0"/>
        <v>-518691.62395008339</v>
      </c>
      <c r="J13" s="223">
        <f t="shared" si="0"/>
        <v>467405.92259835795</v>
      </c>
      <c r="K13" s="17"/>
      <c r="L13" s="19"/>
      <c r="M13" s="19"/>
      <c r="N13" s="19"/>
    </row>
    <row r="14" spans="1:14" x14ac:dyDescent="0.3">
      <c r="B14" s="108"/>
      <c r="C14" s="21"/>
      <c r="D14" s="17"/>
      <c r="E14" s="17"/>
      <c r="F14" s="17"/>
      <c r="G14" s="17"/>
      <c r="H14" s="17"/>
      <c r="I14" s="17"/>
      <c r="J14" s="137"/>
      <c r="K14" s="17"/>
      <c r="L14" s="19"/>
      <c r="M14" s="19"/>
      <c r="N14" s="19"/>
    </row>
    <row r="15" spans="1:14" x14ac:dyDescent="0.3">
      <c r="A15" s="20"/>
      <c r="B15" s="35" t="s">
        <v>226</v>
      </c>
      <c r="C15" s="21"/>
      <c r="D15" s="17"/>
      <c r="E15" s="17"/>
      <c r="F15" s="17"/>
      <c r="G15" s="17"/>
      <c r="H15" s="17"/>
      <c r="I15" s="17"/>
      <c r="J15" s="137"/>
      <c r="K15" s="17"/>
      <c r="L15" s="19"/>
      <c r="M15" s="19"/>
      <c r="N15" s="19"/>
    </row>
    <row r="16" spans="1:14" ht="15" thickBot="1" x14ac:dyDescent="0.35">
      <c r="A16" s="20"/>
      <c r="B16" s="31" t="s">
        <v>227</v>
      </c>
      <c r="C16" s="21"/>
      <c r="D16" s="17"/>
      <c r="E16" s="17"/>
      <c r="F16" s="17"/>
      <c r="G16" s="17">
        <v>1</v>
      </c>
      <c r="H16" s="17">
        <v>2</v>
      </c>
      <c r="I16" s="17">
        <v>3</v>
      </c>
      <c r="J16" s="137">
        <v>4</v>
      </c>
      <c r="K16" s="17"/>
      <c r="L16" s="19"/>
      <c r="M16" s="19"/>
      <c r="N16" s="19"/>
    </row>
    <row r="17" spans="1:15" ht="15" thickBot="1" x14ac:dyDescent="0.35">
      <c r="A17" s="20"/>
      <c r="B17" s="31" t="s">
        <v>228</v>
      </c>
      <c r="C17" s="21"/>
      <c r="D17" s="17"/>
      <c r="E17" s="17"/>
      <c r="F17" s="69">
        <f>L28</f>
        <v>7.8033341631712022E-2</v>
      </c>
      <c r="G17" s="70">
        <f>G13/(1+$F$17)^G16</f>
        <v>282444.24921973125</v>
      </c>
      <c r="H17" s="70">
        <f t="shared" ref="H17:J17" si="1">H13/(1+$F$17)^H16</f>
        <v>226121.48529525721</v>
      </c>
      <c r="I17" s="70">
        <f t="shared" si="1"/>
        <v>-414011.73944492568</v>
      </c>
      <c r="J17" s="237">
        <f t="shared" si="1"/>
        <v>346071.18425240432</v>
      </c>
      <c r="K17" s="17"/>
      <c r="L17" s="19"/>
      <c r="M17" s="19"/>
      <c r="N17" s="19"/>
    </row>
    <row r="18" spans="1:15" x14ac:dyDescent="0.3">
      <c r="A18" s="17"/>
      <c r="B18" s="50" t="s">
        <v>229</v>
      </c>
      <c r="C18" s="141"/>
      <c r="D18" s="141"/>
      <c r="E18" s="141"/>
      <c r="F18" s="141"/>
      <c r="G18" s="238">
        <f>SUM(G17:J17)</f>
        <v>440625.17932246713</v>
      </c>
      <c r="H18" s="141"/>
      <c r="I18" s="141"/>
      <c r="J18" s="239"/>
      <c r="K18" s="17"/>
      <c r="L18" s="19"/>
      <c r="M18" s="19"/>
      <c r="N18" s="19"/>
    </row>
    <row r="19" spans="1:15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9"/>
      <c r="M19" s="19"/>
      <c r="N19" s="19"/>
    </row>
    <row r="20" spans="1:15" x14ac:dyDescent="0.3">
      <c r="A20" s="17"/>
      <c r="B20" s="22" t="s">
        <v>230</v>
      </c>
      <c r="C20" s="23"/>
      <c r="D20" s="23"/>
      <c r="E20" s="23"/>
      <c r="F20" s="24"/>
      <c r="G20" s="25"/>
      <c r="H20" s="25"/>
      <c r="I20" s="25"/>
      <c r="J20" s="25"/>
      <c r="K20" s="25"/>
      <c r="L20" s="14"/>
      <c r="M20" s="14"/>
      <c r="N20" s="23"/>
      <c r="O20" s="23"/>
    </row>
    <row r="21" spans="1:15" x14ac:dyDescent="0.3">
      <c r="A21" s="17"/>
      <c r="B21" s="26" t="s">
        <v>231</v>
      </c>
      <c r="C21" s="27"/>
      <c r="D21" s="27"/>
      <c r="E21" s="27"/>
      <c r="F21" s="28"/>
      <c r="G21" s="25"/>
      <c r="H21" s="25"/>
      <c r="I21" s="25"/>
      <c r="J21" s="26" t="s">
        <v>232</v>
      </c>
      <c r="K21" s="29"/>
      <c r="L21" s="30"/>
      <c r="M21" s="29"/>
      <c r="N21" s="29"/>
      <c r="O21" s="30"/>
    </row>
    <row r="22" spans="1:15" ht="15" thickBot="1" x14ac:dyDescent="0.35">
      <c r="A22" s="17"/>
      <c r="B22" s="31"/>
      <c r="C22" s="32" t="s">
        <v>233</v>
      </c>
      <c r="D22" s="23"/>
      <c r="E22" s="23"/>
      <c r="F22" s="33">
        <f>'Income Statement'!F24</f>
        <v>526692</v>
      </c>
      <c r="G22" s="23"/>
      <c r="H22" s="25"/>
      <c r="I22" s="23"/>
      <c r="J22" s="34" t="s">
        <v>234</v>
      </c>
      <c r="K22" s="21"/>
      <c r="L22" s="257">
        <v>1.6E-2</v>
      </c>
      <c r="M22" s="20" t="s">
        <v>269</v>
      </c>
      <c r="N22" s="23"/>
      <c r="O22" s="36">
        <f>'Balance Sheet'!F34+'Balance Sheet'!F40</f>
        <v>537159</v>
      </c>
    </row>
    <row r="23" spans="1:15" ht="15" thickBot="1" x14ac:dyDescent="0.35">
      <c r="A23" s="19"/>
      <c r="B23" s="31"/>
      <c r="C23" s="32" t="s">
        <v>235</v>
      </c>
      <c r="D23" s="23"/>
      <c r="E23" s="23"/>
      <c r="F23" s="37">
        <f>(O22+O25-'Balance Sheet'!F25)/'Income Statement'!F24</f>
        <v>5.4965653550841855</v>
      </c>
      <c r="G23" s="25"/>
      <c r="H23" s="25"/>
      <c r="I23" s="23"/>
      <c r="J23" s="34" t="s">
        <v>236</v>
      </c>
      <c r="K23" s="21"/>
      <c r="L23" s="257">
        <v>6.6500000000000004E-2</v>
      </c>
      <c r="M23" s="256" t="s">
        <v>237</v>
      </c>
      <c r="N23" s="23"/>
      <c r="O23" s="38">
        <v>2.6</v>
      </c>
    </row>
    <row r="24" spans="1:15" x14ac:dyDescent="0.3">
      <c r="A24" s="19"/>
      <c r="B24" s="31"/>
      <c r="C24" s="32" t="s">
        <v>230</v>
      </c>
      <c r="D24" s="23"/>
      <c r="E24" s="23"/>
      <c r="F24" s="71">
        <f>F23*F22</f>
        <v>2894997</v>
      </c>
      <c r="G24" s="25"/>
      <c r="H24" s="25"/>
      <c r="I24" s="23"/>
      <c r="J24" s="34" t="s">
        <v>238</v>
      </c>
      <c r="K24" s="21"/>
      <c r="L24" s="258">
        <v>0.67</v>
      </c>
      <c r="M24" s="256" t="s">
        <v>239</v>
      </c>
      <c r="N24" s="23"/>
      <c r="O24" s="39">
        <v>1000000000</v>
      </c>
    </row>
    <row r="25" spans="1:15" x14ac:dyDescent="0.3">
      <c r="A25" s="19"/>
      <c r="B25" s="40"/>
      <c r="C25" s="41" t="s">
        <v>240</v>
      </c>
      <c r="D25" s="42"/>
      <c r="E25" s="42"/>
      <c r="F25" s="72">
        <f>F24/(1+F17)^J16</f>
        <v>2143479.5576137132</v>
      </c>
      <c r="G25" s="43"/>
      <c r="H25" s="25"/>
      <c r="I25" s="23"/>
      <c r="J25" s="35" t="s">
        <v>241</v>
      </c>
      <c r="K25" s="21"/>
      <c r="L25" s="259">
        <f>L22+L23*L24</f>
        <v>6.0555000000000005E-2</v>
      </c>
      <c r="M25" s="20" t="s">
        <v>242</v>
      </c>
      <c r="N25" s="23"/>
      <c r="O25" s="68">
        <f>O24*O23/1000</f>
        <v>2600000</v>
      </c>
    </row>
    <row r="26" spans="1:15" x14ac:dyDescent="0.3">
      <c r="B26" s="26" t="s">
        <v>243</v>
      </c>
      <c r="C26" s="27"/>
      <c r="D26" s="27"/>
      <c r="E26" s="27"/>
      <c r="F26" s="28"/>
      <c r="G26" s="25"/>
      <c r="H26" s="25"/>
      <c r="I26" s="23"/>
      <c r="J26" s="35" t="s">
        <v>244</v>
      </c>
      <c r="K26" s="21"/>
      <c r="L26" s="257">
        <f>'Debt Schedule'!H25</f>
        <v>4.2000000000000003E-2</v>
      </c>
      <c r="M26" s="21"/>
      <c r="N26" s="23"/>
      <c r="O26" s="44"/>
    </row>
    <row r="27" spans="1:15" ht="15" thickBot="1" x14ac:dyDescent="0.35">
      <c r="B27" s="45"/>
      <c r="C27" s="46" t="s">
        <v>218</v>
      </c>
      <c r="D27" s="47"/>
      <c r="E27" s="47"/>
      <c r="F27" s="48">
        <f>J17</f>
        <v>346071.18425240432</v>
      </c>
      <c r="G27" s="23"/>
      <c r="H27" s="25"/>
      <c r="I27" s="23"/>
      <c r="J27" s="31"/>
      <c r="K27" s="21"/>
      <c r="L27" s="44"/>
      <c r="M27" s="21"/>
      <c r="N27" s="23"/>
      <c r="O27" s="44"/>
    </row>
    <row r="28" spans="1:15" ht="15" thickBot="1" x14ac:dyDescent="0.35">
      <c r="B28" s="31"/>
      <c r="C28" s="32" t="s">
        <v>245</v>
      </c>
      <c r="D28" s="23"/>
      <c r="E28" s="23"/>
      <c r="F28" s="49">
        <v>0.02</v>
      </c>
      <c r="G28" s="25"/>
      <c r="H28" s="25"/>
      <c r="I28" s="23"/>
      <c r="J28" s="50" t="s">
        <v>246</v>
      </c>
      <c r="K28" s="42"/>
      <c r="L28" s="260">
        <f>L25*(O25/(O22+O25))+L26*(O25/(O22+O25))*(1-'Income Statement'!G54)</f>
        <v>7.8033341631712022E-2</v>
      </c>
      <c r="M28" s="42"/>
      <c r="N28" s="42"/>
      <c r="O28" s="51"/>
    </row>
    <row r="29" spans="1:15" x14ac:dyDescent="0.3">
      <c r="B29" s="31"/>
      <c r="C29" s="32" t="s">
        <v>230</v>
      </c>
      <c r="D29" s="23"/>
      <c r="E29" s="23"/>
      <c r="F29" s="52">
        <f>F27*(1+F28)/(F17-F28)</f>
        <v>6082582.8396647321</v>
      </c>
      <c r="G29" s="53"/>
      <c r="H29" s="25"/>
      <c r="I29" s="23"/>
      <c r="J29" s="23"/>
      <c r="K29" s="23"/>
      <c r="L29" s="23"/>
      <c r="M29" s="23"/>
      <c r="N29" s="23"/>
      <c r="O29" s="23"/>
    </row>
    <row r="30" spans="1:15" x14ac:dyDescent="0.3">
      <c r="B30" s="40"/>
      <c r="C30" s="41" t="s">
        <v>240</v>
      </c>
      <c r="D30" s="42"/>
      <c r="E30" s="42"/>
      <c r="F30" s="54">
        <f>F29/(1+F17)^J16</f>
        <v>4503594.29537002</v>
      </c>
      <c r="G30" s="43"/>
      <c r="H30" s="25"/>
      <c r="I30" s="23"/>
      <c r="J30" s="23" t="s">
        <v>247</v>
      </c>
      <c r="K30" s="23"/>
      <c r="L30" s="23"/>
      <c r="M30" s="23"/>
      <c r="N30" s="23"/>
      <c r="O30" s="23"/>
    </row>
    <row r="31" spans="1:15" x14ac:dyDescent="0.3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</row>
    <row r="32" spans="1:15" x14ac:dyDescent="0.3">
      <c r="B32" s="26" t="s">
        <v>248</v>
      </c>
      <c r="C32" s="27"/>
      <c r="D32" s="27"/>
      <c r="E32" s="55" t="s">
        <v>249</v>
      </c>
      <c r="F32" s="56" t="s">
        <v>243</v>
      </c>
      <c r="G32" s="25"/>
      <c r="H32" s="25"/>
      <c r="I32" s="23"/>
      <c r="J32" s="23" t="s">
        <v>250</v>
      </c>
      <c r="K32" s="23"/>
      <c r="L32" s="23"/>
      <c r="M32" s="23"/>
      <c r="N32" s="23"/>
      <c r="O32" s="23"/>
    </row>
    <row r="33" spans="2:15" x14ac:dyDescent="0.3">
      <c r="B33" s="31" t="s">
        <v>251</v>
      </c>
      <c r="C33" s="21"/>
      <c r="D33" s="21"/>
      <c r="E33" s="73">
        <f>G18</f>
        <v>440625.17932246713</v>
      </c>
      <c r="F33" s="33">
        <f>G18</f>
        <v>440625.17932246713</v>
      </c>
      <c r="G33" s="23" t="s">
        <v>252</v>
      </c>
      <c r="H33" s="23"/>
      <c r="I33" s="23"/>
      <c r="J33" s="23" t="s">
        <v>253</v>
      </c>
      <c r="K33" s="23"/>
      <c r="L33" s="23"/>
      <c r="M33" s="23"/>
      <c r="N33" s="23"/>
      <c r="O33" s="23"/>
    </row>
    <row r="34" spans="2:15" x14ac:dyDescent="0.3">
      <c r="B34" s="31" t="s">
        <v>254</v>
      </c>
      <c r="C34" s="21"/>
      <c r="D34" s="21"/>
      <c r="E34" s="74">
        <f>F25</f>
        <v>2143479.5576137132</v>
      </c>
      <c r="F34" s="33">
        <f>F30</f>
        <v>4503594.29537002</v>
      </c>
      <c r="G34" s="23"/>
      <c r="H34" s="23"/>
      <c r="I34" s="23"/>
      <c r="J34" s="23"/>
      <c r="K34" s="23"/>
      <c r="L34" s="23"/>
      <c r="M34" s="23"/>
      <c r="N34" s="57"/>
      <c r="O34" s="57"/>
    </row>
    <row r="35" spans="2:15" x14ac:dyDescent="0.3">
      <c r="B35" s="35" t="s">
        <v>255</v>
      </c>
      <c r="C35" s="21"/>
      <c r="D35" s="21"/>
      <c r="E35" s="75">
        <f>SUM(E33:E34)</f>
        <v>2584104.7369361804</v>
      </c>
      <c r="F35" s="58">
        <f>SUM(F33:F34)</f>
        <v>4944219.4746924872</v>
      </c>
      <c r="G35" s="23"/>
      <c r="H35" s="23"/>
      <c r="I35" s="23"/>
      <c r="J35" s="23"/>
      <c r="K35" s="23"/>
      <c r="L35" s="23"/>
      <c r="M35" s="23"/>
      <c r="N35" s="23"/>
      <c r="O35" s="23"/>
    </row>
    <row r="36" spans="2:15" x14ac:dyDescent="0.3">
      <c r="B36" s="31" t="s">
        <v>256</v>
      </c>
      <c r="C36" s="21"/>
      <c r="D36" s="21"/>
      <c r="E36" s="73">
        <f>O22-'Balance Sheet'!F25</f>
        <v>294997</v>
      </c>
      <c r="F36" s="33">
        <f>O22-'Balance Sheet'!F25</f>
        <v>294997</v>
      </c>
      <c r="G36" s="23" t="s">
        <v>252</v>
      </c>
      <c r="H36" s="23"/>
      <c r="I36" s="23"/>
      <c r="J36" s="23"/>
      <c r="K36" s="23"/>
      <c r="L36" s="23"/>
      <c r="M36" s="23"/>
      <c r="N36" s="23"/>
      <c r="O36" s="23"/>
    </row>
    <row r="37" spans="2:15" x14ac:dyDescent="0.3">
      <c r="B37" s="35" t="s">
        <v>242</v>
      </c>
      <c r="C37" s="20"/>
      <c r="D37" s="20"/>
      <c r="E37" s="75">
        <f>E35-E36</f>
        <v>2289107.7369361804</v>
      </c>
      <c r="F37" s="58">
        <f>F35-F36</f>
        <v>4649222.4746924872</v>
      </c>
      <c r="G37" s="23"/>
      <c r="H37" s="23"/>
      <c r="I37" s="23"/>
      <c r="J37" s="23"/>
      <c r="K37" s="23"/>
      <c r="L37" s="23"/>
      <c r="M37" s="23"/>
      <c r="N37" s="23"/>
      <c r="O37" s="23"/>
    </row>
    <row r="38" spans="2:15" x14ac:dyDescent="0.3">
      <c r="B38" s="31" t="s">
        <v>257</v>
      </c>
      <c r="C38" s="21"/>
      <c r="D38" s="21"/>
      <c r="E38" s="73">
        <f>O24/1000</f>
        <v>1000000</v>
      </c>
      <c r="F38" s="33">
        <f>O24/1000</f>
        <v>1000000</v>
      </c>
      <c r="G38" s="23" t="s">
        <v>252</v>
      </c>
      <c r="H38" s="23"/>
      <c r="I38" s="23"/>
      <c r="J38" s="23"/>
      <c r="K38" s="23"/>
      <c r="L38" s="23"/>
      <c r="M38" s="23"/>
      <c r="N38" s="59"/>
      <c r="O38" s="59"/>
    </row>
    <row r="39" spans="2:15" x14ac:dyDescent="0.3">
      <c r="B39" s="50" t="s">
        <v>258</v>
      </c>
      <c r="C39" s="60"/>
      <c r="D39" s="60"/>
      <c r="E39" s="61">
        <f>E37/E38</f>
        <v>2.2891077369361805</v>
      </c>
      <c r="F39" s="62">
        <f>F37/F38</f>
        <v>4.6492224746924871</v>
      </c>
      <c r="G39" s="23"/>
      <c r="H39" s="23"/>
      <c r="I39" s="23"/>
      <c r="J39" s="23"/>
      <c r="K39" s="23"/>
      <c r="L39" s="23"/>
      <c r="M39" s="23"/>
      <c r="N39" s="23"/>
      <c r="O39" s="23"/>
    </row>
  </sheetData>
  <mergeCells count="2">
    <mergeCell ref="D2:F2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</vt:lpstr>
      <vt:lpstr>Income Statement</vt:lpstr>
      <vt:lpstr>Balance Sheet</vt:lpstr>
      <vt:lpstr>Cash Flow Statement</vt:lpstr>
      <vt:lpstr>Financial Metrics</vt:lpstr>
      <vt:lpstr>Depreciation</vt:lpstr>
      <vt:lpstr>Operating Working Capital</vt:lpstr>
      <vt:lpstr>Debt Schedule</vt:lpstr>
      <vt:lpstr>DCF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2019-07-16T08:44:16Z</dcterms:modified>
</cp:coreProperties>
</file>