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727"/>
  <workbookPr filterPrivacy="1"/>
  <xr:revisionPtr revIDLastSave="0" documentId="13_ncr:1_{EF7CB7E8-D7FB-40FC-8C7E-473751DA21A1}" xr6:coauthVersionLast="43" xr6:coauthVersionMax="43" xr10:uidLastSave="{00000000-0000-0000-0000-000000000000}"/>
  <bookViews>
    <workbookView xWindow="-108" yWindow="-108" windowWidth="23256" windowHeight="12576" tabRatio="738" activeTab="7" xr2:uid="{00000000-000D-0000-FFFF-FFFF00000000}"/>
  </bookViews>
  <sheets>
    <sheet name="Cover" sheetId="10" r:id="rId1"/>
    <sheet name="Income Statement" sheetId="1" r:id="rId2"/>
    <sheet name="Balance Sheet" sheetId="2" r:id="rId3"/>
    <sheet name="Cash Flow Statement" sheetId="3" r:id="rId4"/>
    <sheet name="Depreciation" sheetId="7" r:id="rId5"/>
    <sheet name="Operating Working Capital" sheetId="5" r:id="rId6"/>
    <sheet name="Debt Schedule" sheetId="6" r:id="rId7"/>
    <sheet name="DCF Analysis" sheetId="8" r:id="rId8"/>
  </sheets>
  <calcPr calcId="191029" iterate="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O24" i="8" l="1"/>
  <c r="O22" i="8"/>
  <c r="F36" i="8" l="1"/>
  <c r="E36" i="8"/>
  <c r="F38" i="8"/>
  <c r="E38" i="8"/>
  <c r="O25" i="8"/>
  <c r="H12" i="8"/>
  <c r="I12" i="8"/>
  <c r="G12" i="8"/>
  <c r="G7" i="8"/>
  <c r="L26" i="8"/>
  <c r="H6" i="8"/>
  <c r="I6" i="8"/>
  <c r="J6" i="8"/>
  <c r="K6" i="8"/>
  <c r="H27" i="1"/>
  <c r="G6" i="8"/>
  <c r="L25" i="8"/>
  <c r="L28" i="8" l="1"/>
  <c r="F17" i="8" s="1"/>
  <c r="H19" i="2" l="1"/>
  <c r="H10" i="2"/>
  <c r="I10" i="2" s="1"/>
  <c r="J10" i="2" s="1"/>
  <c r="K10" i="2" s="1"/>
  <c r="L10" i="2" s="1"/>
  <c r="H32" i="2"/>
  <c r="I32" i="2" s="1"/>
  <c r="J32" i="2" s="1"/>
  <c r="K32" i="2" s="1"/>
  <c r="L32" i="2" s="1"/>
  <c r="H33" i="2"/>
  <c r="I33" i="2" s="1"/>
  <c r="J33" i="2" s="1"/>
  <c r="K33" i="2" s="1"/>
  <c r="L33" i="2" s="1"/>
  <c r="I38" i="2"/>
  <c r="J38" i="2" s="1"/>
  <c r="K38" i="2" s="1"/>
  <c r="L38" i="2" s="1"/>
  <c r="H39" i="2"/>
  <c r="I39" i="2" s="1"/>
  <c r="J39" i="2" s="1"/>
  <c r="K39" i="2" s="1"/>
  <c r="L39" i="2" s="1"/>
  <c r="H38" i="2"/>
  <c r="H29" i="2"/>
  <c r="H41" i="2"/>
  <c r="I41" i="2" s="1"/>
  <c r="J41" i="2" s="1"/>
  <c r="K41" i="2" s="1"/>
  <c r="L41" i="2" s="1"/>
  <c r="H45" i="2" l="1"/>
  <c r="I45" i="2" s="1"/>
  <c r="J45" i="2" s="1"/>
  <c r="K45" i="2" s="1"/>
  <c r="L45" i="2" s="1"/>
  <c r="H37" i="2"/>
  <c r="H27" i="2"/>
  <c r="I27" i="2" s="1"/>
  <c r="J27" i="2" s="1"/>
  <c r="K27" i="2" s="1"/>
  <c r="L27" i="2" s="1"/>
  <c r="H11" i="2"/>
  <c r="I11" i="2" s="1"/>
  <c r="J11" i="2" s="1"/>
  <c r="K11" i="2" s="1"/>
  <c r="L11" i="2" s="1"/>
  <c r="I37" i="2" l="1"/>
  <c r="J37" i="2" s="1"/>
  <c r="K37" i="2" s="1"/>
  <c r="L37" i="2" s="1"/>
  <c r="L42" i="2" s="1"/>
  <c r="H42" i="2"/>
  <c r="H20" i="2"/>
  <c r="I20" i="2" s="1"/>
  <c r="J20" i="2" s="1"/>
  <c r="K20" i="2" s="1"/>
  <c r="L20" i="2" s="1"/>
  <c r="H21" i="2"/>
  <c r="I21" i="2" s="1"/>
  <c r="J21" i="2" s="1"/>
  <c r="K21" i="2" s="1"/>
  <c r="L21" i="2" s="1"/>
  <c r="H12" i="2"/>
  <c r="I12" i="2" s="1"/>
  <c r="J12" i="2" s="1"/>
  <c r="K12" i="2" s="1"/>
  <c r="L12" i="2" s="1"/>
  <c r="H9" i="2"/>
  <c r="I9" i="2" s="1"/>
  <c r="J9" i="2" s="1"/>
  <c r="K9" i="2" s="1"/>
  <c r="L9" i="2" s="1"/>
  <c r="H8" i="2"/>
  <c r="I8" i="2" s="1"/>
  <c r="J8" i="2" s="1"/>
  <c r="K8" i="2" s="1"/>
  <c r="L8" i="2" s="1"/>
  <c r="I19" i="2" l="1"/>
  <c r="J19" i="2"/>
  <c r="K19" i="2"/>
  <c r="L19" i="2"/>
  <c r="I29" i="2"/>
  <c r="J29" i="2" s="1"/>
  <c r="K29" i="2" s="1"/>
  <c r="L29" i="2" s="1"/>
  <c r="H9" i="3" l="1"/>
  <c r="I9" i="3" s="1"/>
  <c r="J9" i="3" s="1"/>
  <c r="K9" i="3" s="1"/>
  <c r="L9" i="3" s="1"/>
  <c r="I15" i="3" l="1"/>
  <c r="J15" i="3"/>
  <c r="K15" i="3"/>
  <c r="L15" i="3"/>
  <c r="H15" i="3"/>
  <c r="I44" i="3" l="1"/>
  <c r="J44" i="3"/>
  <c r="K44" i="3"/>
  <c r="H44" i="3"/>
  <c r="L44" i="3" s="1"/>
  <c r="E33" i="6"/>
  <c r="F33" i="6"/>
  <c r="G33" i="6"/>
  <c r="H33" i="6"/>
  <c r="J28" i="6"/>
  <c r="K28" i="6"/>
  <c r="L28" i="6"/>
  <c r="M28" i="6"/>
  <c r="H24" i="6"/>
  <c r="I21" i="6" s="1"/>
  <c r="I24" i="6" s="1"/>
  <c r="J21" i="6" s="1"/>
  <c r="H25" i="6"/>
  <c r="E32" i="6"/>
  <c r="F6" i="6" s="1"/>
  <c r="F32" i="6"/>
  <c r="G6" i="6" s="1"/>
  <c r="G32" i="6"/>
  <c r="H6" i="6" s="1"/>
  <c r="H32" i="6"/>
  <c r="I6" i="6" s="1"/>
  <c r="H26" i="6" l="1"/>
  <c r="F34" i="6"/>
  <c r="H34" i="6"/>
  <c r="G34" i="6"/>
  <c r="E34" i="6"/>
  <c r="I28" i="6"/>
  <c r="I25" i="6"/>
  <c r="I30" i="6" s="1"/>
  <c r="H31" i="1" s="1"/>
  <c r="J24" i="6"/>
  <c r="K21" i="6" s="1"/>
  <c r="K24" i="6" l="1"/>
  <c r="L21" i="6" s="1"/>
  <c r="L24" i="6" s="1"/>
  <c r="M21" i="6" s="1"/>
  <c r="J25" i="6"/>
  <c r="J30" i="6" s="1"/>
  <c r="I31" i="1" s="1"/>
  <c r="L25" i="6" l="1"/>
  <c r="L30" i="6" s="1"/>
  <c r="K31" i="1" s="1"/>
  <c r="K25" i="6"/>
  <c r="K30" i="6" s="1"/>
  <c r="J31" i="1" s="1"/>
  <c r="M24" i="6"/>
  <c r="M25" i="6" s="1"/>
  <c r="M30" i="6" s="1"/>
  <c r="L31" i="1" s="1"/>
  <c r="H45" i="3" l="1"/>
  <c r="H47" i="2" s="1"/>
  <c r="D50" i="1"/>
  <c r="E50" i="1"/>
  <c r="F50" i="1"/>
  <c r="G50" i="1"/>
  <c r="H50" i="1" s="1"/>
  <c r="I50" i="1" s="1"/>
  <c r="J50" i="1" s="1"/>
  <c r="K50" i="1" s="1"/>
  <c r="L50" i="1" s="1"/>
  <c r="D49" i="1"/>
  <c r="D50" i="3" s="1"/>
  <c r="E49" i="1"/>
  <c r="E50" i="3" s="1"/>
  <c r="F49" i="1"/>
  <c r="F50" i="3" s="1"/>
  <c r="G49" i="1"/>
  <c r="G50" i="3" s="1"/>
  <c r="H49" i="1" l="1"/>
  <c r="I49" i="1" s="1"/>
  <c r="J49" i="1" s="1"/>
  <c r="K49" i="1" s="1"/>
  <c r="L49" i="1" s="1"/>
  <c r="H50" i="3"/>
  <c r="I45" i="3"/>
  <c r="I47" i="2" s="1"/>
  <c r="I57" i="3"/>
  <c r="J57" i="3"/>
  <c r="K57" i="3"/>
  <c r="H57" i="3"/>
  <c r="L57" i="3" s="1"/>
  <c r="I50" i="3" l="1"/>
  <c r="H49" i="3"/>
  <c r="H53" i="3" s="1"/>
  <c r="J45" i="3"/>
  <c r="J47" i="2" s="1"/>
  <c r="I25" i="3"/>
  <c r="J25" i="3"/>
  <c r="H25" i="3"/>
  <c r="G26" i="3"/>
  <c r="I49" i="3" l="1"/>
  <c r="I53" i="3" s="1"/>
  <c r="J50" i="3"/>
  <c r="K45" i="3"/>
  <c r="K47" i="2" s="1"/>
  <c r="I16" i="3"/>
  <c r="J16" i="3"/>
  <c r="K16" i="3"/>
  <c r="L16" i="3"/>
  <c r="H16" i="3"/>
  <c r="H7" i="3"/>
  <c r="J49" i="3" l="1"/>
  <c r="J53" i="3" s="1"/>
  <c r="K50" i="3"/>
  <c r="L45" i="3"/>
  <c r="L47" i="2" s="1"/>
  <c r="D22" i="1"/>
  <c r="L50" i="3" l="1"/>
  <c r="L49" i="3" s="1"/>
  <c r="L53" i="3" s="1"/>
  <c r="K49" i="3"/>
  <c r="K53" i="3" s="1"/>
  <c r="F27" i="5" l="1"/>
  <c r="G27" i="5"/>
  <c r="E27" i="5"/>
  <c r="E24" i="1"/>
  <c r="F24" i="1"/>
  <c r="G24" i="1"/>
  <c r="E22" i="1"/>
  <c r="F22" i="1"/>
  <c r="G22" i="1"/>
  <c r="D24" i="1"/>
  <c r="F12" i="5" l="1"/>
  <c r="G12" i="5"/>
  <c r="H12" i="5"/>
  <c r="E12" i="5"/>
  <c r="F24" i="5"/>
  <c r="G24" i="5"/>
  <c r="H24" i="5"/>
  <c r="I24" i="5" s="1"/>
  <c r="J24" i="5" s="1"/>
  <c r="K24" i="5" s="1"/>
  <c r="L24" i="5" s="1"/>
  <c r="M24" i="5" s="1"/>
  <c r="F22" i="5"/>
  <c r="G22" i="5"/>
  <c r="H22" i="5"/>
  <c r="F20" i="5"/>
  <c r="G20" i="5"/>
  <c r="H20" i="5"/>
  <c r="F18" i="5"/>
  <c r="G18" i="5"/>
  <c r="H18" i="5"/>
  <c r="F16" i="5"/>
  <c r="G16" i="5"/>
  <c r="H16" i="5"/>
  <c r="H8" i="5"/>
  <c r="F10" i="5"/>
  <c r="G10" i="5"/>
  <c r="H10" i="5"/>
  <c r="F8" i="5"/>
  <c r="G8" i="5"/>
  <c r="F6" i="5"/>
  <c r="G6" i="5"/>
  <c r="H6" i="5"/>
  <c r="E24" i="5"/>
  <c r="F25" i="5" s="1"/>
  <c r="E22" i="5"/>
  <c r="E20" i="5"/>
  <c r="E18" i="5"/>
  <c r="E16" i="5"/>
  <c r="F17" i="5" s="1"/>
  <c r="E10" i="5"/>
  <c r="E8" i="5"/>
  <c r="E6" i="5"/>
  <c r="D5" i="7"/>
  <c r="E5" i="7"/>
  <c r="F5" i="7"/>
  <c r="G5" i="7"/>
  <c r="G19" i="7"/>
  <c r="E70" i="7"/>
  <c r="F70" i="7"/>
  <c r="G70" i="7"/>
  <c r="D70" i="7"/>
  <c r="H27" i="5" l="1"/>
  <c r="H25" i="5"/>
  <c r="F19" i="5"/>
  <c r="H17" i="5"/>
  <c r="F21" i="5"/>
  <c r="G19" i="5"/>
  <c r="G7" i="5"/>
  <c r="F7" i="5"/>
  <c r="H19" i="5"/>
  <c r="J19" i="5" s="1"/>
  <c r="H11" i="5"/>
  <c r="G11" i="5"/>
  <c r="G25" i="5"/>
  <c r="H21" i="5"/>
  <c r="H7" i="5"/>
  <c r="G21" i="5"/>
  <c r="F11" i="5"/>
  <c r="G17" i="5"/>
  <c r="D66" i="7"/>
  <c r="E66" i="7"/>
  <c r="F66" i="7"/>
  <c r="G66" i="7"/>
  <c r="H60" i="7"/>
  <c r="H53" i="7"/>
  <c r="I60" i="7"/>
  <c r="J60" i="7" s="1"/>
  <c r="K60" i="7" s="1"/>
  <c r="L60" i="7" s="1"/>
  <c r="I53" i="7"/>
  <c r="J53" i="7" s="1"/>
  <c r="K53" i="7" s="1"/>
  <c r="L53" i="7" s="1"/>
  <c r="H46" i="7"/>
  <c r="I46" i="7" s="1"/>
  <c r="J46" i="7" s="1"/>
  <c r="K46" i="7" s="1"/>
  <c r="L46" i="7" s="1"/>
  <c r="H39" i="7"/>
  <c r="I39" i="7" s="1"/>
  <c r="E16" i="7"/>
  <c r="E17" i="7"/>
  <c r="E19" i="7"/>
  <c r="E18" i="7"/>
  <c r="E20" i="7" s="1"/>
  <c r="D19" i="7"/>
  <c r="D18" i="7"/>
  <c r="D17" i="7"/>
  <c r="D16" i="7"/>
  <c r="G18" i="7"/>
  <c r="G17" i="7"/>
  <c r="G20" i="7" s="1"/>
  <c r="G16" i="7"/>
  <c r="F19" i="7"/>
  <c r="F18" i="7"/>
  <c r="F17" i="7"/>
  <c r="F16" i="7"/>
  <c r="F20" i="7" s="1"/>
  <c r="E13" i="7"/>
  <c r="F13" i="7"/>
  <c r="G13" i="7"/>
  <c r="D13" i="7"/>
  <c r="I21" i="5" l="1"/>
  <c r="K19" i="5"/>
  <c r="I11" i="5"/>
  <c r="I17" i="5"/>
  <c r="J39" i="7"/>
  <c r="H66" i="7"/>
  <c r="D20" i="7"/>
  <c r="J21" i="5" l="1"/>
  <c r="K21" i="5" s="1"/>
  <c r="J11" i="5"/>
  <c r="J17" i="5"/>
  <c r="L19" i="5"/>
  <c r="J7" i="5"/>
  <c r="K39" i="7"/>
  <c r="K11" i="5" l="1"/>
  <c r="L11" i="5" s="1"/>
  <c r="L21" i="5"/>
  <c r="K17" i="5"/>
  <c r="M19" i="5"/>
  <c r="K7" i="5"/>
  <c r="L39" i="7"/>
  <c r="M21" i="5" l="1"/>
  <c r="L17" i="5"/>
  <c r="M11" i="5"/>
  <c r="L7" i="5"/>
  <c r="M17" i="5" l="1"/>
  <c r="M7" i="5"/>
  <c r="H11" i="3" l="1"/>
  <c r="I11" i="3" s="1"/>
  <c r="J11" i="3" s="1"/>
  <c r="K11" i="3" s="1"/>
  <c r="L11" i="3" s="1"/>
  <c r="E43" i="3"/>
  <c r="E53" i="3" s="1"/>
  <c r="F43" i="3"/>
  <c r="F53" i="3" s="1"/>
  <c r="G43" i="3"/>
  <c r="G53" i="3" s="1"/>
  <c r="D43" i="3"/>
  <c r="D53" i="3" s="1"/>
  <c r="H8" i="3"/>
  <c r="H7" i="2" s="1"/>
  <c r="I8" i="3" l="1"/>
  <c r="I7" i="2" s="1"/>
  <c r="J8" i="3"/>
  <c r="K8" i="3" s="1"/>
  <c r="L8" i="3" s="1"/>
  <c r="I42" i="2"/>
  <c r="J42" i="2"/>
  <c r="K42" i="2"/>
  <c r="H46" i="2"/>
  <c r="I46" i="2" s="1"/>
  <c r="J46" i="2" s="1"/>
  <c r="K46" i="2" s="1"/>
  <c r="L46" i="2" s="1"/>
  <c r="G37" i="3"/>
  <c r="G63" i="3" s="1"/>
  <c r="J7" i="2" l="1"/>
  <c r="K7" i="2" s="1"/>
  <c r="L7" i="2" s="1"/>
  <c r="D37" i="3"/>
  <c r="E37" i="3"/>
  <c r="D26" i="3"/>
  <c r="D55" i="3" s="1"/>
  <c r="E26" i="3"/>
  <c r="E13" i="2"/>
  <c r="D13" i="2"/>
  <c r="D49" i="2"/>
  <c r="E49" i="2"/>
  <c r="D42" i="2"/>
  <c r="E42" i="2"/>
  <c r="D34" i="2"/>
  <c r="E34" i="2"/>
  <c r="D23" i="2"/>
  <c r="E23" i="2"/>
  <c r="E51" i="2" s="1"/>
  <c r="D19" i="1"/>
  <c r="D20" i="1" s="1"/>
  <c r="E19" i="1"/>
  <c r="E20" i="1" s="1"/>
  <c r="D10" i="1"/>
  <c r="E10" i="1"/>
  <c r="G55" i="3"/>
  <c r="F37" i="3"/>
  <c r="F26" i="3"/>
  <c r="F63" i="3" l="1"/>
  <c r="E63" i="3"/>
  <c r="D63" i="3"/>
  <c r="E27" i="1"/>
  <c r="D23" i="1"/>
  <c r="D25" i="1"/>
  <c r="D4" i="7"/>
  <c r="D30" i="3"/>
  <c r="D27" i="1"/>
  <c r="D36" i="1" s="1"/>
  <c r="D41" i="1" s="1"/>
  <c r="D46" i="1" s="1"/>
  <c r="E23" i="1"/>
  <c r="E25" i="1"/>
  <c r="F9" i="5"/>
  <c r="F23" i="5"/>
  <c r="F13" i="5"/>
  <c r="E4" i="7"/>
  <c r="E11" i="1"/>
  <c r="E30" i="3"/>
  <c r="G58" i="3"/>
  <c r="H56" i="3" s="1"/>
  <c r="G60" i="3"/>
  <c r="F55" i="3"/>
  <c r="F58" i="3" s="1"/>
  <c r="E55" i="3"/>
  <c r="D52" i="2"/>
  <c r="E52" i="2"/>
  <c r="D51" i="2"/>
  <c r="F49" i="2"/>
  <c r="F42" i="2"/>
  <c r="F34" i="2"/>
  <c r="F52" i="2" s="1"/>
  <c r="F23" i="2"/>
  <c r="F13" i="2"/>
  <c r="F51" i="2" s="1"/>
  <c r="G49" i="2"/>
  <c r="G42" i="2"/>
  <c r="G34" i="2"/>
  <c r="G23" i="2"/>
  <c r="G13" i="2"/>
  <c r="F19" i="1"/>
  <c r="F10" i="1"/>
  <c r="G19" i="1"/>
  <c r="G10" i="1"/>
  <c r="G52" i="2" l="1"/>
  <c r="E6" i="7"/>
  <c r="E25" i="7"/>
  <c r="E26" i="7"/>
  <c r="E28" i="7"/>
  <c r="E27" i="7"/>
  <c r="G27" i="1"/>
  <c r="H10" i="1"/>
  <c r="G23" i="1"/>
  <c r="G25" i="1"/>
  <c r="H13" i="5"/>
  <c r="H9" i="5"/>
  <c r="H23" i="5"/>
  <c r="G4" i="7"/>
  <c r="G11" i="1"/>
  <c r="G30" i="3"/>
  <c r="G20" i="1"/>
  <c r="F25" i="1"/>
  <c r="F23" i="1"/>
  <c r="G9" i="5"/>
  <c r="G13" i="5"/>
  <c r="I13" i="5" s="1"/>
  <c r="G23" i="5"/>
  <c r="F4" i="7"/>
  <c r="F30" i="3"/>
  <c r="F11" i="1"/>
  <c r="F20" i="1"/>
  <c r="D6" i="7"/>
  <c r="D25" i="7"/>
  <c r="D27" i="7"/>
  <c r="D28" i="7"/>
  <c r="D26" i="7"/>
  <c r="E36" i="1"/>
  <c r="E41" i="1" s="1"/>
  <c r="E46" i="1" s="1"/>
  <c r="G51" i="2"/>
  <c r="G54" i="2" s="1"/>
  <c r="F27" i="1"/>
  <c r="F36" i="1" s="1"/>
  <c r="F41" i="1" s="1"/>
  <c r="F46" i="1" s="1"/>
  <c r="I23" i="5" l="1"/>
  <c r="I22" i="5" s="1"/>
  <c r="H23" i="3" s="1"/>
  <c r="H31" i="2" s="1"/>
  <c r="I9" i="5"/>
  <c r="I8" i="5" s="1"/>
  <c r="J13" i="5"/>
  <c r="I12" i="5"/>
  <c r="G6" i="7"/>
  <c r="G27" i="7"/>
  <c r="G28" i="7"/>
  <c r="G25" i="7"/>
  <c r="H25" i="7" s="1"/>
  <c r="G26" i="7"/>
  <c r="H19" i="1"/>
  <c r="H4" i="7"/>
  <c r="H29" i="3"/>
  <c r="I10" i="1"/>
  <c r="F6" i="7"/>
  <c r="F26" i="7"/>
  <c r="F28" i="7"/>
  <c r="F25" i="7"/>
  <c r="F27" i="7"/>
  <c r="G36" i="1"/>
  <c r="G41" i="1" s="1"/>
  <c r="G46" i="1" s="1"/>
  <c r="J23" i="5" l="1"/>
  <c r="K23" i="5" s="1"/>
  <c r="H26" i="7"/>
  <c r="I26" i="7" s="1"/>
  <c r="H6" i="2"/>
  <c r="H13" i="2" s="1"/>
  <c r="G11" i="8"/>
  <c r="J9" i="5"/>
  <c r="K9" i="5" s="1"/>
  <c r="H37" i="3"/>
  <c r="H27" i="7"/>
  <c r="H18" i="7" s="1"/>
  <c r="H28" i="7"/>
  <c r="H19" i="7" s="1"/>
  <c r="J10" i="1"/>
  <c r="I4" i="7"/>
  <c r="I29" i="3"/>
  <c r="I19" i="1"/>
  <c r="I27" i="1" s="1"/>
  <c r="H22" i="1"/>
  <c r="H24" i="1"/>
  <c r="K13" i="5"/>
  <c r="J12" i="5"/>
  <c r="I25" i="7"/>
  <c r="H16" i="7"/>
  <c r="H19" i="3"/>
  <c r="H17" i="2" s="1"/>
  <c r="I27" i="7" l="1"/>
  <c r="J22" i="5"/>
  <c r="I23" i="3" s="1"/>
  <c r="I31" i="2" s="1"/>
  <c r="I28" i="7"/>
  <c r="H17" i="7"/>
  <c r="H5" i="7" s="1"/>
  <c r="I37" i="3"/>
  <c r="H11" i="8"/>
  <c r="J8" i="5"/>
  <c r="I19" i="3" s="1"/>
  <c r="I17" i="2" s="1"/>
  <c r="I40" i="7"/>
  <c r="H9" i="7"/>
  <c r="L23" i="5"/>
  <c r="K22" i="5"/>
  <c r="J23" i="3" s="1"/>
  <c r="J25" i="7"/>
  <c r="I16" i="7"/>
  <c r="L9" i="5"/>
  <c r="K8" i="5"/>
  <c r="I61" i="7"/>
  <c r="J61" i="7" s="1"/>
  <c r="K61" i="7" s="1"/>
  <c r="L61" i="7" s="1"/>
  <c r="H12" i="7"/>
  <c r="H25" i="1"/>
  <c r="I24" i="1"/>
  <c r="I16" i="5"/>
  <c r="H21" i="3" s="1"/>
  <c r="H26" i="2" s="1"/>
  <c r="I6" i="5"/>
  <c r="H23" i="1"/>
  <c r="I18" i="5"/>
  <c r="I22" i="1"/>
  <c r="I10" i="5"/>
  <c r="H20" i="3" s="1"/>
  <c r="H18" i="2" s="1"/>
  <c r="I20" i="5"/>
  <c r="J28" i="7"/>
  <c r="I19" i="7"/>
  <c r="J62" i="7" s="1"/>
  <c r="K62" i="7" s="1"/>
  <c r="L62" i="7" s="1"/>
  <c r="I18" i="7"/>
  <c r="J55" i="7" s="1"/>
  <c r="K55" i="7" s="1"/>
  <c r="L55" i="7" s="1"/>
  <c r="J27" i="7"/>
  <c r="K10" i="1"/>
  <c r="J4" i="7"/>
  <c r="J29" i="3"/>
  <c r="J19" i="1"/>
  <c r="J27" i="1" s="1"/>
  <c r="I17" i="7"/>
  <c r="J48" i="7" s="1"/>
  <c r="K48" i="7" s="1"/>
  <c r="L48" i="7" s="1"/>
  <c r="J26" i="7"/>
  <c r="K12" i="5"/>
  <c r="L13" i="5"/>
  <c r="H11" i="7"/>
  <c r="I54" i="7"/>
  <c r="J54" i="7" s="1"/>
  <c r="K54" i="7" s="1"/>
  <c r="L54" i="7" s="1"/>
  <c r="J31" i="2" l="1"/>
  <c r="I47" i="7"/>
  <c r="J47" i="7" s="1"/>
  <c r="K47" i="7" s="1"/>
  <c r="L47" i="7" s="1"/>
  <c r="H10" i="7"/>
  <c r="I11" i="7"/>
  <c r="H22" i="3"/>
  <c r="H28" i="2" s="1"/>
  <c r="J37" i="3"/>
  <c r="I11" i="8"/>
  <c r="I27" i="5"/>
  <c r="I28" i="5" s="1"/>
  <c r="G10" i="8" s="1"/>
  <c r="G13" i="8" s="1"/>
  <c r="G17" i="8" s="1"/>
  <c r="I10" i="7"/>
  <c r="L8" i="5"/>
  <c r="K19" i="3" s="1"/>
  <c r="M9" i="5"/>
  <c r="J24" i="1"/>
  <c r="I25" i="1"/>
  <c r="J6" i="5"/>
  <c r="J16" i="5"/>
  <c r="I21" i="3" s="1"/>
  <c r="I26" i="2" s="1"/>
  <c r="J19" i="7"/>
  <c r="K63" i="7" s="1"/>
  <c r="L63" i="7" s="1"/>
  <c r="K28" i="7"/>
  <c r="L10" i="1"/>
  <c r="K4" i="7"/>
  <c r="K29" i="3"/>
  <c r="K19" i="1"/>
  <c r="K27" i="1" s="1"/>
  <c r="L22" i="5"/>
  <c r="K23" i="3" s="1"/>
  <c r="K31" i="2" s="1"/>
  <c r="M23" i="5"/>
  <c r="H18" i="3"/>
  <c r="H16" i="2" s="1"/>
  <c r="I12" i="7"/>
  <c r="J12" i="7" s="1"/>
  <c r="H70" i="7"/>
  <c r="H6" i="7"/>
  <c r="K26" i="7"/>
  <c r="J17" i="7"/>
  <c r="K49" i="7" s="1"/>
  <c r="L49" i="7" s="1"/>
  <c r="K27" i="7"/>
  <c r="J18" i="7"/>
  <c r="K56" i="7" s="1"/>
  <c r="L56" i="7" s="1"/>
  <c r="J22" i="1"/>
  <c r="I23" i="1"/>
  <c r="J18" i="5"/>
  <c r="J10" i="5"/>
  <c r="J20" i="5"/>
  <c r="I9" i="7"/>
  <c r="J41" i="7"/>
  <c r="K41" i="7" s="1"/>
  <c r="L41" i="7" s="1"/>
  <c r="I5" i="7"/>
  <c r="I6" i="7" s="1"/>
  <c r="L12" i="5"/>
  <c r="M13" i="5"/>
  <c r="M12" i="5" s="1"/>
  <c r="J16" i="7"/>
  <c r="K25" i="7"/>
  <c r="J19" i="3"/>
  <c r="J17" i="2" s="1"/>
  <c r="J40" i="7"/>
  <c r="I66" i="7"/>
  <c r="H30" i="2" l="1"/>
  <c r="H34" i="2" s="1"/>
  <c r="J10" i="7"/>
  <c r="I7" i="3"/>
  <c r="I6" i="2" s="1"/>
  <c r="I13" i="2" s="1"/>
  <c r="H7" i="8"/>
  <c r="J27" i="5"/>
  <c r="J28" i="5" s="1"/>
  <c r="H10" i="8" s="1"/>
  <c r="H13" i="8" s="1"/>
  <c r="H17" i="8" s="1"/>
  <c r="K17" i="2"/>
  <c r="K37" i="3"/>
  <c r="J11" i="8"/>
  <c r="I70" i="7"/>
  <c r="I22" i="3"/>
  <c r="I28" i="2" s="1"/>
  <c r="I20" i="3"/>
  <c r="I18" i="2" s="1"/>
  <c r="K24" i="1"/>
  <c r="J25" i="1"/>
  <c r="K16" i="5"/>
  <c r="J21" i="3" s="1"/>
  <c r="J26" i="2" s="1"/>
  <c r="K6" i="5"/>
  <c r="K22" i="1"/>
  <c r="J23" i="1"/>
  <c r="K18" i="5"/>
  <c r="K20" i="5"/>
  <c r="K10" i="5"/>
  <c r="J20" i="3" s="1"/>
  <c r="M8" i="5"/>
  <c r="L19" i="3" s="1"/>
  <c r="L25" i="7"/>
  <c r="K16" i="7"/>
  <c r="I18" i="3"/>
  <c r="I16" i="2" s="1"/>
  <c r="L4" i="7"/>
  <c r="L29" i="3"/>
  <c r="L19" i="1"/>
  <c r="L27" i="1" s="1"/>
  <c r="K17" i="7"/>
  <c r="L50" i="7" s="1"/>
  <c r="L26" i="7"/>
  <c r="J11" i="7"/>
  <c r="L28" i="7"/>
  <c r="K19" i="7"/>
  <c r="L64" i="7" s="1"/>
  <c r="K42" i="7"/>
  <c r="L42" i="7" s="1"/>
  <c r="J5" i="7"/>
  <c r="J6" i="7" s="1"/>
  <c r="K40" i="7"/>
  <c r="J66" i="7"/>
  <c r="K18" i="7"/>
  <c r="L57" i="7" s="1"/>
  <c r="L27" i="7"/>
  <c r="J9" i="7"/>
  <c r="M22" i="5"/>
  <c r="L23" i="3" s="1"/>
  <c r="L31" i="2" s="1"/>
  <c r="L17" i="2" l="1"/>
  <c r="J22" i="3"/>
  <c r="J28" i="2" s="1"/>
  <c r="K12" i="7"/>
  <c r="J7" i="3"/>
  <c r="J6" i="2" s="1"/>
  <c r="J13" i="2" s="1"/>
  <c r="I7" i="8"/>
  <c r="L37" i="3"/>
  <c r="K11" i="8"/>
  <c r="I30" i="2"/>
  <c r="I34" i="2" s="1"/>
  <c r="K27" i="5"/>
  <c r="K28" i="5" s="1"/>
  <c r="I10" i="8" s="1"/>
  <c r="J18" i="2"/>
  <c r="L19" i="7"/>
  <c r="K9" i="7"/>
  <c r="K11" i="7"/>
  <c r="L24" i="1"/>
  <c r="K25" i="1"/>
  <c r="L16" i="5"/>
  <c r="K21" i="3" s="1"/>
  <c r="K26" i="2" s="1"/>
  <c r="L6" i="5"/>
  <c r="J70" i="7"/>
  <c r="L40" i="7"/>
  <c r="K66" i="7"/>
  <c r="L17" i="7"/>
  <c r="L43" i="7"/>
  <c r="K5" i="7"/>
  <c r="K6" i="7" s="1"/>
  <c r="L22" i="1"/>
  <c r="K23" i="1"/>
  <c r="L18" i="5"/>
  <c r="L10" i="5"/>
  <c r="L20" i="5"/>
  <c r="L16" i="7"/>
  <c r="J18" i="3"/>
  <c r="J16" i="2" s="1"/>
  <c r="L18" i="7"/>
  <c r="K10" i="7"/>
  <c r="L12" i="7" l="1"/>
  <c r="L9" i="7"/>
  <c r="I13" i="8"/>
  <c r="I17" i="8" s="1"/>
  <c r="J30" i="2"/>
  <c r="J34" i="2" s="1"/>
  <c r="K7" i="3"/>
  <c r="K6" i="2" s="1"/>
  <c r="K13" i="2" s="1"/>
  <c r="J7" i="8"/>
  <c r="K18" i="3"/>
  <c r="K16" i="2" s="1"/>
  <c r="L27" i="5"/>
  <c r="L28" i="5" s="1"/>
  <c r="J10" i="8" s="1"/>
  <c r="L11" i="7"/>
  <c r="L23" i="1"/>
  <c r="M18" i="5"/>
  <c r="M10" i="5"/>
  <c r="L20" i="3" s="1"/>
  <c r="M20" i="5"/>
  <c r="L25" i="1"/>
  <c r="M16" i="5"/>
  <c r="L21" i="3" s="1"/>
  <c r="L26" i="2" s="1"/>
  <c r="M6" i="5"/>
  <c r="L10" i="7"/>
  <c r="L66" i="7"/>
  <c r="K70" i="7"/>
  <c r="L5" i="7"/>
  <c r="L6" i="7" s="1"/>
  <c r="K20" i="3"/>
  <c r="K18" i="2" s="1"/>
  <c r="K22" i="3"/>
  <c r="L70" i="7" l="1"/>
  <c r="L18" i="3"/>
  <c r="L16" i="2" s="1"/>
  <c r="M27" i="5"/>
  <c r="M28" i="5" s="1"/>
  <c r="K10" i="8" s="1"/>
  <c r="L7" i="3"/>
  <c r="L6" i="2" s="1"/>
  <c r="L13" i="2" s="1"/>
  <c r="K7" i="8"/>
  <c r="K28" i="2"/>
  <c r="K30" i="2"/>
  <c r="L18" i="2"/>
  <c r="L22" i="3"/>
  <c r="F22" i="8" l="1"/>
  <c r="F23" i="8"/>
  <c r="L30" i="2"/>
  <c r="L28" i="2"/>
  <c r="K34" i="2"/>
  <c r="L34" i="2" l="1"/>
  <c r="F24" i="8"/>
  <c r="F25" i="8" s="1"/>
  <c r="E34" i="8" s="1"/>
  <c r="H22" i="2"/>
  <c r="I22" i="2"/>
  <c r="J22" i="2"/>
  <c r="K22" i="2"/>
  <c r="L22" i="2"/>
  <c r="H23" i="2"/>
  <c r="I23" i="2"/>
  <c r="J23" i="2"/>
  <c r="K23" i="2"/>
  <c r="L23" i="2"/>
  <c r="H48" i="2"/>
  <c r="I48" i="2"/>
  <c r="J48" i="2"/>
  <c r="K48" i="2"/>
  <c r="L48" i="2"/>
  <c r="H49" i="2"/>
  <c r="I49" i="2"/>
  <c r="J49" i="2"/>
  <c r="K49" i="2"/>
  <c r="L49" i="2"/>
  <c r="H51" i="2"/>
  <c r="I51" i="2"/>
  <c r="J51" i="2"/>
  <c r="K51" i="2"/>
  <c r="L51" i="2"/>
  <c r="H52" i="2"/>
  <c r="I52" i="2"/>
  <c r="J52" i="2"/>
  <c r="K52" i="2"/>
  <c r="L52" i="2"/>
  <c r="H54" i="2"/>
  <c r="I54" i="2"/>
  <c r="J54" i="2"/>
  <c r="K54" i="2"/>
  <c r="L54" i="2"/>
  <c r="H6" i="3"/>
  <c r="I6" i="3"/>
  <c r="J6" i="3"/>
  <c r="K6" i="3"/>
  <c r="L6" i="3"/>
  <c r="K25" i="3"/>
  <c r="L25" i="3"/>
  <c r="H26" i="3"/>
  <c r="I26" i="3"/>
  <c r="J26" i="3"/>
  <c r="K26" i="3"/>
  <c r="L26" i="3"/>
  <c r="H55" i="3"/>
  <c r="I55" i="3"/>
  <c r="J55" i="3"/>
  <c r="K55" i="3"/>
  <c r="L55" i="3"/>
  <c r="I56" i="3"/>
  <c r="J56" i="3"/>
  <c r="K56" i="3"/>
  <c r="L56" i="3"/>
  <c r="H58" i="3"/>
  <c r="I58" i="3"/>
  <c r="J58" i="3"/>
  <c r="K58" i="3"/>
  <c r="L58" i="3"/>
  <c r="H60" i="3"/>
  <c r="I60" i="3"/>
  <c r="J60" i="3"/>
  <c r="K60" i="3"/>
  <c r="L60" i="3"/>
  <c r="H63" i="3"/>
  <c r="I63" i="3"/>
  <c r="J63" i="3"/>
  <c r="K63" i="3"/>
  <c r="L63" i="3"/>
  <c r="C21" i="10"/>
  <c r="J12" i="8"/>
  <c r="K12" i="8"/>
  <c r="J13" i="8"/>
  <c r="K13" i="8"/>
  <c r="J17" i="8"/>
  <c r="K17" i="8"/>
  <c r="G18" i="8"/>
  <c r="F27" i="8"/>
  <c r="F29" i="8"/>
  <c r="F30" i="8"/>
  <c r="E33" i="8"/>
  <c r="F33" i="8"/>
  <c r="F34" i="8"/>
  <c r="E35" i="8"/>
  <c r="F35" i="8"/>
  <c r="E37" i="8"/>
  <c r="F37" i="8"/>
  <c r="E39" i="8"/>
  <c r="F39" i="8"/>
  <c r="J6" i="6"/>
  <c r="K6" i="6"/>
  <c r="L6" i="6"/>
  <c r="M6" i="6"/>
  <c r="I7" i="6"/>
  <c r="J7" i="6"/>
  <c r="K7" i="6"/>
  <c r="L7" i="6"/>
  <c r="M7" i="6"/>
  <c r="I9" i="6"/>
  <c r="J9" i="6"/>
  <c r="K9" i="6"/>
  <c r="L9" i="6"/>
  <c r="M9" i="6"/>
  <c r="I32" i="6"/>
  <c r="J32" i="6"/>
  <c r="K32" i="6"/>
  <c r="L32" i="6"/>
  <c r="M32" i="6"/>
  <c r="I33" i="6"/>
  <c r="J33" i="6"/>
  <c r="K33" i="6"/>
  <c r="L33" i="6"/>
  <c r="M33" i="6"/>
  <c r="H30" i="1"/>
  <c r="I30" i="1"/>
  <c r="J30" i="1"/>
  <c r="K30" i="1"/>
  <c r="L30" i="1"/>
  <c r="H36" i="1"/>
  <c r="I36" i="1"/>
  <c r="J36" i="1"/>
  <c r="K36" i="1"/>
  <c r="L36" i="1"/>
  <c r="K38" i="1"/>
  <c r="L38" i="1"/>
  <c r="H41" i="1"/>
  <c r="I41" i="1"/>
  <c r="J41" i="1"/>
  <c r="K41" i="1"/>
  <c r="L41" i="1"/>
  <c r="H46" i="1"/>
  <c r="I46" i="1"/>
  <c r="J46" i="1"/>
  <c r="K46" i="1"/>
  <c r="L46" i="1"/>
</calcChain>
</file>

<file path=xl/sharedStrings.xml><?xml version="1.0" encoding="utf-8"?>
<sst xmlns="http://schemas.openxmlformats.org/spreadsheetml/2006/main" count="543" uniqueCount="371">
  <si>
    <t>Operating Revenues</t>
  </si>
  <si>
    <t>Casino</t>
  </si>
  <si>
    <t>Rooms</t>
  </si>
  <si>
    <t>Food and Beverage</t>
  </si>
  <si>
    <t>Retail and other</t>
  </si>
  <si>
    <t>Total Revenues</t>
  </si>
  <si>
    <t>Operating costs and expenses</t>
  </si>
  <si>
    <t>Gaming taxes and premiums</t>
  </si>
  <si>
    <t>Staff costs</t>
  </si>
  <si>
    <t>Other operating expenses</t>
  </si>
  <si>
    <t>Depreciation and amortization</t>
  </si>
  <si>
    <t>Property charges and other</t>
  </si>
  <si>
    <t>Total Operating Costs</t>
  </si>
  <si>
    <t>Operating Profit</t>
  </si>
  <si>
    <t>Finance revenues</t>
  </si>
  <si>
    <t>Finance costs</t>
  </si>
  <si>
    <t>Net foreign currency differences</t>
  </si>
  <si>
    <t>Loss on extinguishment of debt</t>
  </si>
  <si>
    <t>Profit Before Tax</t>
  </si>
  <si>
    <t>Income Tax Expense</t>
  </si>
  <si>
    <t>Net Profit</t>
  </si>
  <si>
    <t>Currency translation reserve</t>
  </si>
  <si>
    <t>Other Comprehensive Income</t>
  </si>
  <si>
    <t>Total Comprehensive Income</t>
  </si>
  <si>
    <t>Current assets</t>
  </si>
  <si>
    <t>Inventories</t>
  </si>
  <si>
    <t>Trade and other receivables</t>
  </si>
  <si>
    <t>Prepayments and other current assets</t>
  </si>
  <si>
    <t>Amounts due from related companies</t>
  </si>
  <si>
    <t>Restricted cash and cash equivalents</t>
  </si>
  <si>
    <t>Cash and cash equivalents</t>
  </si>
  <si>
    <t>Non-current assets</t>
  </si>
  <si>
    <t>Property and equipment and construction in progress</t>
  </si>
  <si>
    <t>Leasehold interests in land</t>
  </si>
  <si>
    <t>Goodwill</t>
  </si>
  <si>
    <t>Deposits for acquisition of property and equipment</t>
  </si>
  <si>
    <t>Other non-current assets</t>
  </si>
  <si>
    <t>Current liabilities</t>
  </si>
  <si>
    <t>Accounts payable</t>
  </si>
  <si>
    <t>Interest-bearing borrowings</t>
  </si>
  <si>
    <t>Other payables and accruals</t>
  </si>
  <si>
    <t>Amounts due to related companies</t>
  </si>
  <si>
    <t>Income tax payables</t>
  </si>
  <si>
    <t>Other current liabilities</t>
  </si>
  <si>
    <t>Total Current Assets</t>
  </si>
  <si>
    <t>Total Non-current assets</t>
  </si>
  <si>
    <t>Total Non-current liabilities</t>
  </si>
  <si>
    <t>Non-current liabilities</t>
  </si>
  <si>
    <t>Construction retentions payable</t>
  </si>
  <si>
    <t>Other long-term liabilities</t>
  </si>
  <si>
    <t>Total Current liabilities</t>
  </si>
  <si>
    <t>Equity</t>
  </si>
  <si>
    <t>Issued capital</t>
  </si>
  <si>
    <t>Share premium account</t>
  </si>
  <si>
    <t>Shares held for employee ownership scheme</t>
  </si>
  <si>
    <t>Reserves</t>
  </si>
  <si>
    <t>Total Equity</t>
  </si>
  <si>
    <t>Construction and retentions payables</t>
  </si>
  <si>
    <t>Should I combine the Accounts payables and this?</t>
  </si>
  <si>
    <t>Total Assets</t>
  </si>
  <si>
    <t>Total Liabilities + Equity</t>
  </si>
  <si>
    <t>Profit before tax</t>
  </si>
  <si>
    <t>Cash flows from operating activities</t>
  </si>
  <si>
    <t>Depreciation of property and equipment</t>
  </si>
  <si>
    <t>Amortization of leasehold interests in land</t>
  </si>
  <si>
    <t>Provision/(reversal of provision) for doubtful accounts, net</t>
  </si>
  <si>
    <t>Expense of share-based payments</t>
  </si>
  <si>
    <t>Changes in fair value of interest rate swaps</t>
  </si>
  <si>
    <t>Working capital adjustments:</t>
  </si>
  <si>
    <t>Decrease in inventories</t>
  </si>
  <si>
    <t>(Increase)/decrease in trade and other receivables</t>
  </si>
  <si>
    <t>Decrease in prepayments and other assets</t>
  </si>
  <si>
    <t>Increase in accounts payable</t>
  </si>
  <si>
    <t>(Decrease)/increase in other payables, accruals and other liabilities</t>
  </si>
  <si>
    <t>(Decrease)/increase in net amounts due to related companies</t>
  </si>
  <si>
    <t>Total cash flows from operating activities</t>
  </si>
  <si>
    <t>Cash flows from investing activities</t>
  </si>
  <si>
    <t>Proceeds from sale of property and equipment and other assets</t>
  </si>
  <si>
    <t>Proceeds from insurance claims</t>
  </si>
  <si>
    <t>Interest received</t>
  </si>
  <si>
    <t>Total cash flows from investing activities</t>
  </si>
  <si>
    <t>Cash flows from financing activities</t>
  </si>
  <si>
    <r>
      <t xml:space="preserve">(Increase)/decrease in </t>
    </r>
    <r>
      <rPr>
        <u/>
        <sz val="11"/>
        <color theme="1"/>
        <rFont val="Calibri"/>
        <family val="2"/>
        <scheme val="minor"/>
      </rPr>
      <t>restricted</t>
    </r>
    <r>
      <rPr>
        <sz val="11"/>
        <color theme="1"/>
        <rFont val="Calibri"/>
        <family val="2"/>
        <scheme val="minor"/>
      </rPr>
      <t xml:space="preserve"> cash and cash equivalents</t>
    </r>
  </si>
  <si>
    <t>Proceeds from borrowings</t>
  </si>
  <si>
    <t>Repayment of borrowings</t>
  </si>
  <si>
    <t>Payments of debt financing costs</t>
  </si>
  <si>
    <t>Shares purchased for employee ownership scheme</t>
  </si>
  <si>
    <t>Proceeds from exercise of share options</t>
  </si>
  <si>
    <t>Interest paid</t>
  </si>
  <si>
    <t>Dividends paid</t>
  </si>
  <si>
    <t>?</t>
  </si>
  <si>
    <t>Total cash flows form financing activities</t>
  </si>
  <si>
    <t>Net increase in cash and cash equivalents</t>
  </si>
  <si>
    <t>Cash and cash equivalents as at 1 January</t>
  </si>
  <si>
    <t>Effect of foreign exchange rate changes, net</t>
  </si>
  <si>
    <t>Cash and cash equivalents as at 31 December</t>
  </si>
  <si>
    <t>Why was 2017 Cash Flow generated higher?</t>
  </si>
  <si>
    <t>linked from balance sheet?</t>
  </si>
  <si>
    <t>I think this and below can be summed</t>
  </si>
  <si>
    <t>But overall 2018 increase in cash but the operating cash flows was still lower?</t>
  </si>
  <si>
    <t>Interest Rate Swaps</t>
  </si>
  <si>
    <t>Land premiums payable</t>
  </si>
  <si>
    <t>Interest rate swaps</t>
  </si>
  <si>
    <t>Looks like a cycle</t>
  </si>
  <si>
    <t>Payment of land premiums</t>
  </si>
  <si>
    <t>should be linked within here</t>
  </si>
  <si>
    <t>Description</t>
  </si>
  <si>
    <t>what is this</t>
  </si>
  <si>
    <t>Y/Y revenue growth</t>
  </si>
  <si>
    <t>2015A</t>
  </si>
  <si>
    <t>2016A</t>
  </si>
  <si>
    <t>2017A</t>
  </si>
  <si>
    <t>2018A</t>
  </si>
  <si>
    <t>2019E</t>
  </si>
  <si>
    <t>2020E</t>
  </si>
  <si>
    <t>2021E</t>
  </si>
  <si>
    <t>2022E</t>
  </si>
  <si>
    <t>2023E</t>
  </si>
  <si>
    <t>Operating costs as a % of revenue</t>
  </si>
  <si>
    <t>Interest</t>
  </si>
  <si>
    <t>Seems non-recurring to me. W0t</t>
  </si>
  <si>
    <t>^ construction and retentions payables</t>
  </si>
  <si>
    <t>CAPEX as % of revenue</t>
  </si>
  <si>
    <t>linked</t>
  </si>
  <si>
    <t>Accrued liabilities</t>
  </si>
  <si>
    <t>Assume no change moving forward</t>
  </si>
  <si>
    <t>Hmm confusing see the CF statement</t>
  </si>
  <si>
    <t>Seems non recurring leh. See the debt schedule?</t>
  </si>
  <si>
    <t>Could this just be because they seperated all the different line items? Check with bloomberg</t>
  </si>
  <si>
    <t>Perhaps there is more consolidation there</t>
  </si>
  <si>
    <t>Seems similar to the NYSF example</t>
  </si>
  <si>
    <t>hmmm. Check with NYSF</t>
  </si>
  <si>
    <t xml:space="preserve">Seems non-recurring to me. Need debt schedule?? </t>
  </si>
  <si>
    <t>Assumes no debt is extinguished</t>
  </si>
  <si>
    <t>Others</t>
  </si>
  <si>
    <t>Why is this different from the Balance Sheet Change</t>
  </si>
  <si>
    <t>Tough to say</t>
  </si>
  <si>
    <t>Assumed to be zero moving forward</t>
  </si>
  <si>
    <t>Just assume 0 first</t>
  </si>
  <si>
    <t>Total Borrowings</t>
  </si>
  <si>
    <t>Depreciaiton Schedule</t>
  </si>
  <si>
    <t>Averaged used</t>
  </si>
  <si>
    <t>No more interest rate swaps are being carried</t>
  </si>
  <si>
    <t>Loss on Disposals. Hardcoded figure assumed here</t>
  </si>
  <si>
    <t>Seems very volatile. Assume no more</t>
  </si>
  <si>
    <t>Can we assume nore more share options exercised?</t>
  </si>
  <si>
    <t>reserved at the Trust to fund the WML employee ownership scheme</t>
  </si>
  <si>
    <t>Assume no change. Wrong. Still need to link</t>
  </si>
  <si>
    <t>OR assume this is the deferred income taxes</t>
  </si>
  <si>
    <t>There is a line item that says gamign taxes payable leh</t>
  </si>
  <si>
    <t>Does not contain deferred income tax</t>
  </si>
  <si>
    <t>Revenue</t>
  </si>
  <si>
    <t>10 to 45 years</t>
  </si>
  <si>
    <t>3 to 5 years</t>
  </si>
  <si>
    <t>1 to 5 years</t>
  </si>
  <si>
    <t>Capital Expenditures as a % of Revenue</t>
  </si>
  <si>
    <t>Page 121 and 155</t>
  </si>
  <si>
    <t>Gross PPE</t>
  </si>
  <si>
    <t>Total Gross PPE</t>
  </si>
  <si>
    <t>CAPEX by segment</t>
  </si>
  <si>
    <t>Capex % of Revenue</t>
  </si>
  <si>
    <t>Depriciable Years</t>
  </si>
  <si>
    <t>[Straight-line basis]</t>
  </si>
  <si>
    <t>Depreciation Schedule</t>
  </si>
  <si>
    <t>Original Balance</t>
  </si>
  <si>
    <t>Year 1</t>
  </si>
  <si>
    <t>Year 2</t>
  </si>
  <si>
    <t>Year 3</t>
  </si>
  <si>
    <t>Year 4</t>
  </si>
  <si>
    <t>Total Depreciation</t>
  </si>
  <si>
    <t>Net PPE</t>
  </si>
  <si>
    <r>
      <t xml:space="preserve">Purchases of property and equipment and </t>
    </r>
    <r>
      <rPr>
        <b/>
        <sz val="11"/>
        <color theme="1"/>
        <rFont val="Calibri"/>
        <family val="2"/>
        <scheme val="minor"/>
      </rPr>
      <t>other assets</t>
    </r>
    <r>
      <rPr>
        <sz val="11"/>
        <color theme="1"/>
        <rFont val="Calibri"/>
        <family val="2"/>
        <scheme val="minor"/>
      </rPr>
      <t>, net of…^</t>
    </r>
  </si>
  <si>
    <t>Buildings and Improvements</t>
  </si>
  <si>
    <t>Furniture Fixtures and Equipment</t>
  </si>
  <si>
    <t>Leasehold Improvements</t>
  </si>
  <si>
    <t>Construction in Progress</t>
  </si>
  <si>
    <t>Sum of CAPEX</t>
  </si>
  <si>
    <t>Reported CAPEX</t>
  </si>
  <si>
    <t>Construction in Progress (reduced)</t>
  </si>
  <si>
    <t>(note, adjustements to project costs and abandonments/disposals are ignored here</t>
  </si>
  <si>
    <t xml:space="preserve">Capital Expenditures </t>
  </si>
  <si>
    <t>for reference</t>
  </si>
  <si>
    <t>Note: If we notice in general, unless there are serious expansion plans, Assets will drop</t>
  </si>
  <si>
    <t>Looks fine</t>
  </si>
  <si>
    <t>Looks okay</t>
  </si>
  <si>
    <t>Inventory turnover days</t>
  </si>
  <si>
    <t>Days receivable</t>
  </si>
  <si>
    <t>Days payable</t>
  </si>
  <si>
    <t>DRIVERS</t>
  </si>
  <si>
    <t>COGS</t>
  </si>
  <si>
    <t>Income</t>
  </si>
  <si>
    <t>SG&amp;A</t>
  </si>
  <si>
    <t>Income Taxes Paid</t>
  </si>
  <si>
    <t>Self calculated SG&amp;A</t>
  </si>
  <si>
    <t>Self calculated COGS</t>
  </si>
  <si>
    <t>Total operating working capital</t>
  </si>
  <si>
    <t>Change in total operating working capital</t>
  </si>
  <si>
    <t>Match? (Y/N)</t>
  </si>
  <si>
    <t xml:space="preserve"> the days seem too high. COGS even worse.</t>
  </si>
  <si>
    <t>at 24, inventory days seem too high.</t>
  </si>
  <si>
    <t>seems fine</t>
  </si>
  <si>
    <t>SG&amp;A as a % of Revenue</t>
  </si>
  <si>
    <t>COGS as a % of Revenue</t>
  </si>
  <si>
    <t>at 10, value seems too high</t>
  </si>
  <si>
    <t>seem too high as well</t>
  </si>
  <si>
    <t>abnormally</t>
  </si>
  <si>
    <t>Conservative estimate given</t>
  </si>
  <si>
    <t>Assumed to be zero??</t>
  </si>
  <si>
    <t>Hard Assumption made here</t>
  </si>
  <si>
    <t>exempted</t>
  </si>
  <si>
    <t>tax credits</t>
  </si>
  <si>
    <t>Projected Income Tax %</t>
  </si>
  <si>
    <t>This will be a hard assumption moving forward</t>
  </si>
  <si>
    <r>
      <t xml:space="preserve">Income taxes </t>
    </r>
    <r>
      <rPr>
        <b/>
        <sz val="11"/>
        <color theme="1"/>
        <rFont val="Calibri"/>
        <family val="2"/>
        <scheme val="minor"/>
      </rPr>
      <t>paid</t>
    </r>
  </si>
  <si>
    <t>Assume 50%</t>
  </si>
  <si>
    <t>Possible for a reduction of the 12%</t>
  </si>
  <si>
    <t>Average common shares outstanding</t>
  </si>
  <si>
    <t>Basic</t>
  </si>
  <si>
    <t>Diluted</t>
  </si>
  <si>
    <t>excludes shares reserved for ownership scheme</t>
  </si>
  <si>
    <t>Page 151</t>
  </si>
  <si>
    <t>Dividend per share</t>
  </si>
  <si>
    <t>Assume no changes</t>
  </si>
  <si>
    <t>What happens if there is share purchases</t>
  </si>
  <si>
    <t>* 2018 expected another 0.45 increase</t>
  </si>
  <si>
    <t>* Should expect more increases down the line</t>
  </si>
  <si>
    <t>Cash available to pay down debt</t>
  </si>
  <si>
    <t>Cash at beginning of year</t>
  </si>
  <si>
    <t>Cash flow before debt paydown</t>
  </si>
  <si>
    <t>Minimum cash cushion</t>
  </si>
  <si>
    <t>Total cash available to pay down debt</t>
  </si>
  <si>
    <t>Notes: All non recurring and non owc liability items.</t>
  </si>
  <si>
    <t>Does not include  deferred income taxes and non controlllling interest</t>
  </si>
  <si>
    <t>Need to see which CF line item drives this. OR NONE</t>
  </si>
  <si>
    <t>Current Interest-bearing borrowings</t>
  </si>
  <si>
    <t>Non-Current Interest-bearing borrowings</t>
  </si>
  <si>
    <t>Short term interest expense</t>
  </si>
  <si>
    <t>Short term interest rate</t>
  </si>
  <si>
    <t>Current Interest-bearing borrowings (beginning of year)</t>
  </si>
  <si>
    <t>Current Interest-bearing borrowings (end of year)</t>
  </si>
  <si>
    <r>
      <rPr>
        <u/>
        <sz val="11"/>
        <rFont val="Calibri"/>
        <family val="2"/>
        <scheme val="minor"/>
      </rPr>
      <t>Mandatory</t>
    </r>
    <r>
      <rPr>
        <sz val="11"/>
        <rFont val="Calibri"/>
        <family val="2"/>
        <scheme val="minor"/>
      </rPr>
      <t xml:space="preserve"> issuances / (retirements) </t>
    </r>
  </si>
  <si>
    <r>
      <rPr>
        <u/>
        <sz val="11"/>
        <rFont val="Calibri"/>
        <family val="2"/>
        <scheme val="minor"/>
      </rPr>
      <t xml:space="preserve">Non-mandatory </t>
    </r>
    <r>
      <rPr>
        <sz val="11"/>
        <rFont val="Calibri"/>
        <family val="2"/>
        <scheme val="minor"/>
      </rPr>
      <t>issuances / (retirements)</t>
    </r>
  </si>
  <si>
    <t>Non-Current Interest-bearing borrowings (beginning of year)</t>
  </si>
  <si>
    <t>Long term interest expense</t>
  </si>
  <si>
    <t>Long term interest rate</t>
  </si>
  <si>
    <t>Total issuances / (retirements)</t>
  </si>
  <si>
    <t>Total interest expense</t>
  </si>
  <si>
    <t>Cash at the end of the year</t>
  </si>
  <si>
    <t>Interest income</t>
  </si>
  <si>
    <t>Interest rate</t>
  </si>
  <si>
    <t>Total change in cash and cash equivalents</t>
  </si>
  <si>
    <t>SUPPLEMENTAL DATA:</t>
  </si>
  <si>
    <t>Comments</t>
  </si>
  <si>
    <t>Seems about right</t>
  </si>
  <si>
    <t>Assume no short term debt will be borrowed</t>
  </si>
  <si>
    <t>Might happen long term when the interest rate drops</t>
  </si>
  <si>
    <t>Average gives 0.69…%. We shall hardcode 0.7%</t>
  </si>
  <si>
    <t>Actual Statements Below &lt;&gt; debt schedule</t>
  </si>
  <si>
    <t>FX. In the IS. Assume 0 moving forward</t>
  </si>
  <si>
    <t>PPE item. Assume is 0 as per NYSF.</t>
  </si>
  <si>
    <t>&lt;&gt; debt schedule no balancing needs to be done here</t>
  </si>
  <si>
    <t>Need to consider debt schedule</t>
  </si>
  <si>
    <t>Not in the IS. Similar to the NYSF one. NYSF used a cycle to forecast.</t>
  </si>
  <si>
    <t>just make sure it matches with the OWC</t>
  </si>
  <si>
    <t>Added on my own</t>
  </si>
  <si>
    <t>Why is depre so much higher than capex</t>
  </si>
  <si>
    <t>Not sure if this is the right way to link. Why is cash so high</t>
  </si>
  <si>
    <t>The only account not linked to the Cash Flow Statements</t>
  </si>
  <si>
    <t>Other Current Assets</t>
  </si>
  <si>
    <t>THIS DRIVES THE SHARES HELD FOR OWNERSHIP SCHEME</t>
  </si>
  <si>
    <t>Share buybacks</t>
  </si>
  <si>
    <t>Might be in the wrong column</t>
  </si>
  <si>
    <t xml:space="preserve">Need to check. </t>
  </si>
  <si>
    <t>Plus and minuses might be wrong for RE</t>
  </si>
  <si>
    <t>Other Long Term Liabilities</t>
  </si>
  <si>
    <t>Created</t>
  </si>
  <si>
    <t>Difference</t>
  </si>
  <si>
    <t>Other Current Liabilities</t>
  </si>
  <si>
    <t xml:space="preserve">Accrued income tax. </t>
  </si>
  <si>
    <t>Dangers is that the growth in Assets</t>
  </si>
  <si>
    <t>Is at an alarming rate</t>
  </si>
  <si>
    <t>Although it is around 3-4 million a year</t>
  </si>
  <si>
    <t>Doesn’t seem too bad to me</t>
  </si>
  <si>
    <t>Unlevered Free Cash Flow</t>
  </si>
  <si>
    <t>EBIT</t>
  </si>
  <si>
    <t>Depreciation &amp; Amortization</t>
  </si>
  <si>
    <t>Deferred Taxes</t>
  </si>
  <si>
    <t>Other</t>
  </si>
  <si>
    <t>Changes in Working Capital</t>
  </si>
  <si>
    <t>Capital Expenditures</t>
  </si>
  <si>
    <t>Taxes</t>
  </si>
  <si>
    <t>Total Unlevered Free Cash Flow</t>
  </si>
  <si>
    <t>Net Present Value Calulation</t>
  </si>
  <si>
    <t>Period</t>
  </si>
  <si>
    <t>Discounted Cash Flow</t>
  </si>
  <si>
    <t>Total Net Present Value</t>
  </si>
  <si>
    <t>Terminal Value</t>
  </si>
  <si>
    <t>EBITDA Method</t>
  </si>
  <si>
    <t>Cost of Capital</t>
  </si>
  <si>
    <t>Exit Year EBITDA</t>
  </si>
  <si>
    <t xml:space="preserve">Risk Free Rate </t>
  </si>
  <si>
    <t>Multiple</t>
  </si>
  <si>
    <t xml:space="preserve">Market Risk Premium </t>
  </si>
  <si>
    <t xml:space="preserve">Stock Price </t>
  </si>
  <si>
    <t xml:space="preserve">Beta </t>
  </si>
  <si>
    <t>Shares Outstanding</t>
  </si>
  <si>
    <t>Net Present Value</t>
  </si>
  <si>
    <t xml:space="preserve">Cost of Equity </t>
  </si>
  <si>
    <t>Equity Value</t>
  </si>
  <si>
    <t>Perpetuity Method</t>
  </si>
  <si>
    <t xml:space="preserve">Cost of Debt </t>
  </si>
  <si>
    <t>Growth Rate</t>
  </si>
  <si>
    <t>WACC</t>
  </si>
  <si>
    <t>Need to use a MRP based on the index, S&amp;P500</t>
  </si>
  <si>
    <t xml:space="preserve">Discounted Cash Flow Total Valuation </t>
  </si>
  <si>
    <t xml:space="preserve">EBITDA Method </t>
  </si>
  <si>
    <t>^ Cost of debt should use current rates of debt</t>
  </si>
  <si>
    <t>Total of Present Value of Cash Flows</t>
  </si>
  <si>
    <t>sama sama</t>
  </si>
  <si>
    <t>Current Corporate Debt Rating would be amazing</t>
  </si>
  <si>
    <t>Present Value of Terminal Value</t>
  </si>
  <si>
    <t>Total Enterprise Value</t>
  </si>
  <si>
    <t>Net Debt, Non-controlling interests, preferred securities</t>
  </si>
  <si>
    <t>Share Count (millions)</t>
  </si>
  <si>
    <t>Estimated Equity Value per Share</t>
  </si>
  <si>
    <t>Debt YE 2018</t>
  </si>
  <si>
    <t>add another '000</t>
  </si>
  <si>
    <t>add another '000,000</t>
  </si>
  <si>
    <t>Looks dangerously wrong</t>
  </si>
  <si>
    <t>Debt + Equity Value + NCI - Cash</t>
  </si>
  <si>
    <t>NCI can be in Liabilities and in Equity</t>
  </si>
  <si>
    <t>Year ended 31st December</t>
  </si>
  <si>
    <t>Historical</t>
  </si>
  <si>
    <t>Projection Period</t>
  </si>
  <si>
    <t>Bull</t>
  </si>
  <si>
    <t>Base</t>
  </si>
  <si>
    <t>Bear</t>
  </si>
  <si>
    <t>Green: Linked items from other worksheets</t>
  </si>
  <si>
    <t>Black: Excel formula</t>
  </si>
  <si>
    <t>Blue with highlight: Assumptions</t>
  </si>
  <si>
    <t>Valuation Date:</t>
  </si>
  <si>
    <t>Blue: Hard-coded numbers</t>
  </si>
  <si>
    <t>Indsutry</t>
  </si>
  <si>
    <t>Colour Convention</t>
  </si>
  <si>
    <t>Last Historical Year:</t>
  </si>
  <si>
    <t>Ticker:</t>
  </si>
  <si>
    <t>Company Name:</t>
  </si>
  <si>
    <t>Consolidated statement of cash flows</t>
  </si>
  <si>
    <t>3. Cash Flow Statement</t>
  </si>
  <si>
    <t>General Information</t>
  </si>
  <si>
    <t>Consolidated annual balance sheet</t>
  </si>
  <si>
    <t>2. Balance Sheet</t>
  </si>
  <si>
    <t>Consolidated annual income statement</t>
  </si>
  <si>
    <t>1. Income Statement</t>
  </si>
  <si>
    <t>Sheet Navigator</t>
  </si>
  <si>
    <t>Company Description</t>
  </si>
  <si>
    <t>Wynn Macau</t>
  </si>
  <si>
    <t>HK:1128</t>
  </si>
  <si>
    <t>Casino/Hotels &amp; Resorts</t>
  </si>
  <si>
    <t>Wynn Macau is an operator of integrated casino resorts in Macau. Wynn Macau and Encore, located on the peninsula, boasted 376 gaming tables and 804 slots at the end of 2016. The firm also has two hotels with 1,008 rooms and 57,000 square feet of retail space featuring high-end brand-name stores. The HKD 34 billion Wynn Palace, situated in Cotai, had 296 tables and 906 slots at the end of 2016. It has 1,706 rooms and 105,000 square feet of high-end retail area. Wynn Resorts has a 72% stake in Wynn Macau.</t>
  </si>
  <si>
    <t>7th of July</t>
  </si>
  <si>
    <t>Current Price (HKD):</t>
  </si>
  <si>
    <t>Target Price (HKD):</t>
  </si>
  <si>
    <t>4. Depreciation</t>
  </si>
  <si>
    <t>5. Operating Working Capital</t>
  </si>
  <si>
    <t>6. Debt Schedule</t>
  </si>
  <si>
    <t>7. DCF Analysis</t>
  </si>
  <si>
    <t>Projeciton of PPE and Depreciation</t>
  </si>
  <si>
    <t>Projection of Working Capital Accounts</t>
  </si>
  <si>
    <t>Projection of Issuances and Retirements of Debt</t>
  </si>
  <si>
    <t>Unlevered Cash Flows and WACC calculations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</si>
</sst>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3" formatCode="_-* #,##0.00_-;\-* #,##0.00_-;_-* &quot;-&quot;??_-;_-@_-"/>
    <numFmt numFmtId="164" formatCode="_-* #,##0_-;\-* #,##0_-;_-* &quot;-&quot;??_-;_-@_-"/>
    <numFmt numFmtId="165" formatCode="_(* #,##0.0_);_(* \(#,##0.0\);_(* &quot;-&quot;??_);_(@_)"/>
    <numFmt numFmtId="166" formatCode="0.0"/>
    <numFmt numFmtId="167" formatCode="#,##0.000"/>
    <numFmt numFmtId="168" formatCode="#,##0.0_);[Red]\(#,##0.0\)"/>
    <numFmt numFmtId="169" formatCode="0.0\x"/>
    <numFmt numFmtId="170" formatCode="#,##0.0_);\(#,##0.0\)"/>
    <numFmt numFmtId="171" formatCode="#,##0.00_);\(#,##0.00\);#,##0.00_);@_)"/>
    <numFmt numFmtId="172" formatCode="&quot;$&quot;#,##0.00_);\(&quot;$&quot;#,##0.00\)"/>
    <numFmt numFmtId="173" formatCode="0.0%"/>
    <numFmt numFmtId="174" formatCode="#,##0_);[Red]\(#,##0\)"/>
    <numFmt numFmtId="175" formatCode="#,##0_);\(#,##0\)"/>
    <numFmt numFmtId="176" formatCode="_(\ #,##0.00_);_(\ \(#,##0.00\)_);_(\ &quot; - &quot;_)"/>
  </numFmts>
  <fonts count="32" x14ac:knownFonts="1">
    <font>
      <sz val="11"/>
      <color theme="1"/>
      <name val="Calibri"/>
      <family val="2"/>
      <scheme val="minor"/>
    </font>
    <font>
      <b/>
      <sz val="11"/>
      <color theme="1"/>
      <name val="Calibri"/>
      <family val="2"/>
      <scheme val="minor"/>
    </font>
    <font>
      <u/>
      <sz val="11"/>
      <color theme="1"/>
      <name val="Calibri"/>
      <family val="2"/>
      <scheme val="minor"/>
    </font>
    <font>
      <sz val="11"/>
      <name val="Calibri"/>
      <family val="2"/>
      <scheme val="minor"/>
    </font>
    <font>
      <sz val="11"/>
      <color theme="1"/>
      <name val="Calibri"/>
      <family val="2"/>
      <scheme val="minor"/>
    </font>
    <font>
      <sz val="11"/>
      <color rgb="FFFF0000"/>
      <name val="Calibri"/>
      <family val="2"/>
      <scheme val="minor"/>
    </font>
    <font>
      <sz val="11"/>
      <color theme="4"/>
      <name val="Calibri"/>
      <family val="2"/>
      <scheme val="minor"/>
    </font>
    <font>
      <i/>
      <sz val="9"/>
      <name val="Calibri"/>
      <family val="2"/>
      <scheme val="minor"/>
    </font>
    <font>
      <b/>
      <sz val="11"/>
      <name val="Calibri"/>
      <family val="2"/>
      <scheme val="minor"/>
    </font>
    <font>
      <u/>
      <sz val="11"/>
      <name val="Calibri"/>
      <family val="2"/>
      <scheme val="minor"/>
    </font>
    <font>
      <b/>
      <sz val="11"/>
      <color indexed="12"/>
      <name val="Calibri"/>
      <family val="2"/>
      <scheme val="minor"/>
    </font>
    <font>
      <i/>
      <sz val="11"/>
      <name val="Calibri"/>
      <family val="2"/>
      <scheme val="minor"/>
    </font>
    <font>
      <sz val="10"/>
      <name val="Arial"/>
      <family val="2"/>
    </font>
    <font>
      <b/>
      <sz val="9"/>
      <name val="Arial"/>
      <family val="2"/>
    </font>
    <font>
      <sz val="9"/>
      <name val="Arial"/>
      <family val="2"/>
    </font>
    <font>
      <sz val="9"/>
      <color indexed="56"/>
      <name val="Arial"/>
      <family val="2"/>
    </font>
    <font>
      <sz val="9"/>
      <color indexed="12"/>
      <name val="Arial"/>
      <family val="2"/>
    </font>
    <font>
      <b/>
      <sz val="9"/>
      <color theme="0"/>
      <name val="Century Gothic"/>
      <family val="1"/>
    </font>
    <font>
      <b/>
      <sz val="9"/>
      <name val="Century Gothic"/>
      <family val="1"/>
    </font>
    <font>
      <sz val="11"/>
      <color theme="1"/>
      <name val="Century Gothic"/>
      <family val="2"/>
    </font>
    <font>
      <sz val="9"/>
      <color theme="1"/>
      <name val="Century Gothic"/>
      <family val="1"/>
    </font>
    <font>
      <sz val="9"/>
      <color theme="0"/>
      <name val="Century Gothic"/>
      <family val="1"/>
    </font>
    <font>
      <u/>
      <sz val="11"/>
      <color theme="10"/>
      <name val="Calibri"/>
      <family val="2"/>
      <scheme val="minor"/>
    </font>
    <font>
      <b/>
      <sz val="9"/>
      <color rgb="FF00B050"/>
      <name val="Century Gothic"/>
      <family val="1"/>
    </font>
    <font>
      <b/>
      <sz val="9"/>
      <color theme="1"/>
      <name val="Century Gothic"/>
      <family val="1"/>
    </font>
    <font>
      <b/>
      <sz val="9"/>
      <color rgb="FF0000FF"/>
      <name val="Century Gothic"/>
      <family val="1"/>
    </font>
    <font>
      <b/>
      <sz val="9"/>
      <color theme="1"/>
      <name val="Century Gothic"/>
      <family val="2"/>
    </font>
    <font>
      <b/>
      <u/>
      <sz val="9"/>
      <color theme="1"/>
      <name val="Century Gothic"/>
      <family val="2"/>
    </font>
    <font>
      <b/>
      <sz val="11"/>
      <color theme="0"/>
      <name val="Century Gothic"/>
      <family val="1"/>
    </font>
    <font>
      <b/>
      <sz val="28"/>
      <color theme="0"/>
      <name val="Century Gothic"/>
      <family val="1"/>
    </font>
    <font>
      <u/>
      <sz val="9"/>
      <color theme="10"/>
      <name val="Century Gothic"/>
      <family val="2"/>
    </font>
    <font>
      <sz val="9"/>
      <color theme="1"/>
      <name val="Century Gothic"/>
      <family val="2"/>
    </font>
  </fonts>
  <fills count="18">
    <fill>
      <patternFill patternType="none"/>
    </fill>
    <fill>
      <patternFill patternType="gray125"/>
    </fill>
    <fill>
      <patternFill patternType="solid">
        <fgColor theme="5" tint="0.39997558519241921"/>
        <bgColor indexed="64"/>
      </patternFill>
    </fill>
    <fill>
      <patternFill patternType="solid">
        <fgColor theme="0" tint="-0.14999847407452621"/>
        <bgColor indexed="64"/>
      </patternFill>
    </fill>
    <fill>
      <patternFill patternType="solid">
        <fgColor theme="2" tint="-9.9978637043366805E-2"/>
        <bgColor indexed="64"/>
      </patternFill>
    </fill>
    <fill>
      <patternFill patternType="solid">
        <fgColor theme="5" tint="0.59999389629810485"/>
        <bgColor indexed="64"/>
      </patternFill>
    </fill>
    <fill>
      <patternFill patternType="solid">
        <fgColor rgb="FFFFFF00"/>
        <bgColor indexed="64"/>
      </patternFill>
    </fill>
    <fill>
      <patternFill patternType="lightUp"/>
    </fill>
    <fill>
      <patternFill patternType="solid">
        <fgColor theme="9" tint="0.39997558519241921"/>
        <bgColor indexed="64"/>
      </patternFill>
    </fill>
    <fill>
      <patternFill patternType="solid">
        <fgColor theme="9" tint="0.59999389629810485"/>
        <bgColor indexed="64"/>
      </patternFill>
    </fill>
    <fill>
      <patternFill patternType="solid">
        <fgColor theme="4"/>
        <bgColor indexed="64"/>
      </patternFill>
    </fill>
    <fill>
      <patternFill patternType="solid">
        <fgColor theme="5" tint="-0.249977111117893"/>
        <bgColor indexed="64"/>
      </patternFill>
    </fill>
    <fill>
      <patternFill patternType="solid">
        <fgColor theme="0"/>
        <bgColor indexed="64"/>
      </patternFill>
    </fill>
    <fill>
      <patternFill patternType="solid">
        <fgColor indexed="22"/>
        <bgColor indexed="64"/>
      </patternFill>
    </fill>
    <fill>
      <patternFill patternType="solid">
        <fgColor theme="7" tint="0.59999389629810485"/>
        <bgColor indexed="64"/>
      </patternFill>
    </fill>
    <fill>
      <patternFill patternType="solid">
        <fgColor rgb="FF002F7F"/>
        <bgColor indexed="64"/>
      </patternFill>
    </fill>
    <fill>
      <patternFill patternType="solid">
        <fgColor theme="8" tint="0.79998168889431442"/>
        <bgColor indexed="64"/>
      </patternFill>
    </fill>
    <fill>
      <patternFill patternType="solid">
        <fgColor theme="4" tint="0.59999389629810485"/>
        <bgColor indexed="64"/>
      </patternFill>
    </fill>
  </fills>
  <borders count="1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top/>
      <bottom style="medium">
        <color indexed="64"/>
      </bottom>
      <diagonal/>
    </border>
    <border>
      <left/>
      <right/>
      <top/>
      <bottom style="medium">
        <color indexed="64"/>
      </bottom>
      <diagonal/>
    </border>
  </borders>
  <cellStyleXfs count="6">
    <xf numFmtId="0" fontId="0" fillId="0" borderId="0"/>
    <xf numFmtId="43" fontId="4" fillId="0" borderId="0" applyFont="0" applyFill="0" applyBorder="0" applyAlignment="0" applyProtection="0"/>
    <xf numFmtId="0" fontId="12" fillId="0" borderId="0"/>
    <xf numFmtId="0" fontId="12" fillId="0" borderId="0"/>
    <xf numFmtId="0" fontId="19" fillId="0" borderId="0"/>
    <xf numFmtId="0" fontId="22" fillId="0" borderId="0" applyNumberFormat="0" applyFill="0" applyBorder="0" applyAlignment="0" applyProtection="0"/>
  </cellStyleXfs>
  <cellXfs count="182">
    <xf numFmtId="0" fontId="0" fillId="0" borderId="0" xfId="0"/>
    <xf numFmtId="3" fontId="0" fillId="0" borderId="0" xfId="0" applyNumberFormat="1"/>
    <xf numFmtId="0" fontId="1" fillId="0" borderId="0" xfId="0" applyFont="1"/>
    <xf numFmtId="0" fontId="2" fillId="0" borderId="0" xfId="0" applyFont="1"/>
    <xf numFmtId="0" fontId="0" fillId="0" borderId="0" xfId="0" applyAlignment="1"/>
    <xf numFmtId="3" fontId="0" fillId="0" borderId="0" xfId="0" applyNumberFormat="1" applyAlignment="1"/>
    <xf numFmtId="10" fontId="0" fillId="0" borderId="0" xfId="0" applyNumberFormat="1"/>
    <xf numFmtId="0" fontId="0" fillId="0" borderId="0" xfId="0" applyAlignment="1">
      <alignment horizontal="right"/>
    </xf>
    <xf numFmtId="9" fontId="0" fillId="0" borderId="0" xfId="0" applyNumberFormat="1"/>
    <xf numFmtId="0" fontId="0" fillId="3" borderId="0" xfId="0" applyFill="1"/>
    <xf numFmtId="0" fontId="0" fillId="2" borderId="0" xfId="0" applyFill="1"/>
    <xf numFmtId="1" fontId="0" fillId="0" borderId="0" xfId="0" applyNumberFormat="1"/>
    <xf numFmtId="164" fontId="0" fillId="0" borderId="0" xfId="1" applyNumberFormat="1" applyFont="1"/>
    <xf numFmtId="0" fontId="0" fillId="4" borderId="0" xfId="0" applyFill="1"/>
    <xf numFmtId="0" fontId="0" fillId="5" borderId="0" xfId="0" applyFill="1"/>
    <xf numFmtId="0" fontId="5" fillId="0" borderId="0" xfId="0" applyFont="1"/>
    <xf numFmtId="0" fontId="3" fillId="0" borderId="0" xfId="0" applyFont="1"/>
    <xf numFmtId="0" fontId="0" fillId="0" borderId="0" xfId="0" applyFill="1"/>
    <xf numFmtId="3" fontId="0" fillId="0" borderId="0" xfId="0" applyNumberFormat="1" applyFill="1"/>
    <xf numFmtId="0" fontId="3" fillId="0" borderId="0" xfId="0" applyFont="1" applyFill="1"/>
    <xf numFmtId="3" fontId="0" fillId="0" borderId="0" xfId="0" applyNumberFormat="1" applyFill="1" applyAlignment="1">
      <alignment horizontal="right"/>
    </xf>
    <xf numFmtId="0" fontId="0" fillId="0" borderId="0" xfId="0" applyAlignment="1">
      <alignment horizontal="left"/>
    </xf>
    <xf numFmtId="0" fontId="1" fillId="0" borderId="0" xfId="0" applyFont="1" applyAlignment="1">
      <alignment horizontal="right"/>
    </xf>
    <xf numFmtId="0" fontId="0" fillId="0" borderId="0" xfId="0" applyFill="1" applyBorder="1"/>
    <xf numFmtId="0" fontId="1" fillId="0" borderId="0" xfId="0" applyFont="1" applyFill="1" applyBorder="1"/>
    <xf numFmtId="3" fontId="0" fillId="0" borderId="0" xfId="0" applyNumberFormat="1" applyFill="1" applyBorder="1"/>
    <xf numFmtId="0" fontId="2" fillId="0" borderId="0" xfId="0" applyFont="1" applyFill="1" applyBorder="1"/>
    <xf numFmtId="10" fontId="0" fillId="0" borderId="0" xfId="0" applyNumberFormat="1" applyFill="1" applyBorder="1"/>
    <xf numFmtId="10" fontId="0" fillId="6" borderId="0" xfId="0" applyNumberFormat="1" applyFill="1" applyBorder="1"/>
    <xf numFmtId="10" fontId="0" fillId="6" borderId="0" xfId="0" applyNumberFormat="1" applyFill="1"/>
    <xf numFmtId="1" fontId="0" fillId="0" borderId="0" xfId="0" applyNumberFormat="1" applyFill="1" applyBorder="1"/>
    <xf numFmtId="165" fontId="6" fillId="7" borderId="0" xfId="0" applyNumberFormat="1" applyFont="1" applyFill="1"/>
    <xf numFmtId="1" fontId="0" fillId="0" borderId="0" xfId="0" applyNumberFormat="1" applyBorder="1"/>
    <xf numFmtId="1" fontId="6" fillId="7" borderId="0" xfId="0" applyNumberFormat="1" applyFont="1" applyFill="1" applyBorder="1"/>
    <xf numFmtId="165" fontId="6" fillId="7" borderId="0" xfId="0" applyNumberFormat="1" applyFont="1" applyFill="1" applyBorder="1"/>
    <xf numFmtId="164" fontId="0" fillId="0" borderId="0" xfId="1" applyNumberFormat="1" applyFont="1" applyFill="1" applyBorder="1"/>
    <xf numFmtId="164" fontId="0" fillId="0" borderId="0" xfId="0" applyNumberFormat="1"/>
    <xf numFmtId="10" fontId="0" fillId="0" borderId="0" xfId="0" applyNumberFormat="1" applyFill="1"/>
    <xf numFmtId="0" fontId="1" fillId="0" borderId="0" xfId="0" applyFont="1" applyFill="1"/>
    <xf numFmtId="0" fontId="0" fillId="0" borderId="0" xfId="0" applyFont="1" applyFill="1"/>
    <xf numFmtId="0" fontId="7" fillId="0" borderId="0" xfId="0" applyFont="1" applyFill="1" applyAlignment="1">
      <alignment horizontal="left"/>
    </xf>
    <xf numFmtId="0" fontId="0" fillId="0" borderId="0" xfId="0" applyNumberFormat="1"/>
    <xf numFmtId="166" fontId="0" fillId="0" borderId="0" xfId="0" applyNumberFormat="1"/>
    <xf numFmtId="0" fontId="8" fillId="0" borderId="0" xfId="0" applyFont="1" applyFill="1" applyBorder="1"/>
    <xf numFmtId="0" fontId="3" fillId="0" borderId="0" xfId="0" applyFont="1" applyFill="1" applyBorder="1"/>
    <xf numFmtId="43" fontId="0" fillId="0" borderId="0" xfId="1" applyFont="1"/>
    <xf numFmtId="164" fontId="0" fillId="0" borderId="0" xfId="1" applyNumberFormat="1" applyFont="1" applyFill="1"/>
    <xf numFmtId="43" fontId="0" fillId="0" borderId="0" xfId="0" applyNumberFormat="1" applyFill="1"/>
    <xf numFmtId="0" fontId="0" fillId="0" borderId="0" xfId="0" applyAlignment="1">
      <alignment horizontal="center"/>
    </xf>
    <xf numFmtId="9" fontId="3" fillId="0" borderId="0" xfId="0" applyNumberFormat="1" applyFont="1" applyFill="1"/>
    <xf numFmtId="164" fontId="3" fillId="0" borderId="0" xfId="1" applyNumberFormat="1" applyFont="1" applyFill="1"/>
    <xf numFmtId="4" fontId="0" fillId="0" borderId="0" xfId="0" applyNumberFormat="1"/>
    <xf numFmtId="167" fontId="0" fillId="0" borderId="0" xfId="0" applyNumberFormat="1"/>
    <xf numFmtId="10" fontId="1" fillId="0" borderId="0" xfId="0" applyNumberFormat="1" applyFont="1"/>
    <xf numFmtId="0" fontId="8" fillId="0" borderId="0" xfId="0" applyFont="1" applyFill="1"/>
    <xf numFmtId="0" fontId="3" fillId="0" borderId="0" xfId="0" quotePrefix="1" applyFont="1" applyFill="1"/>
    <xf numFmtId="9" fontId="10" fillId="0" borderId="0" xfId="0" applyNumberFormat="1" applyFont="1" applyFill="1" applyAlignment="1">
      <alignment horizontal="right"/>
    </xf>
    <xf numFmtId="9" fontId="11" fillId="0" borderId="0" xfId="0" applyNumberFormat="1" applyFont="1" applyFill="1" applyAlignment="1">
      <alignment horizontal="left"/>
    </xf>
    <xf numFmtId="0" fontId="0" fillId="0" borderId="0" xfId="0" applyBorder="1"/>
    <xf numFmtId="0" fontId="0" fillId="0" borderId="0" xfId="0" applyFont="1" applyFill="1" applyBorder="1"/>
    <xf numFmtId="0" fontId="3" fillId="0" borderId="0" xfId="0" quotePrefix="1" applyFont="1" applyFill="1" applyBorder="1"/>
    <xf numFmtId="9" fontId="10" fillId="0" borderId="0" xfId="0" applyNumberFormat="1" applyFont="1" applyFill="1" applyBorder="1" applyAlignment="1">
      <alignment horizontal="right"/>
    </xf>
    <xf numFmtId="9" fontId="11" fillId="0" borderId="0" xfId="0" applyNumberFormat="1" applyFont="1" applyFill="1" applyBorder="1" applyAlignment="1">
      <alignment horizontal="left"/>
    </xf>
    <xf numFmtId="9" fontId="10" fillId="0" borderId="0" xfId="0" applyNumberFormat="1" applyFont="1" applyFill="1" applyBorder="1"/>
    <xf numFmtId="9" fontId="11" fillId="0" borderId="0" xfId="0" applyNumberFormat="1" applyFont="1" applyFill="1" applyBorder="1"/>
    <xf numFmtId="3" fontId="0" fillId="0" borderId="0" xfId="0" applyNumberFormat="1" applyBorder="1"/>
    <xf numFmtId="3" fontId="0" fillId="0" borderId="0" xfId="0" applyNumberFormat="1" applyFont="1" applyFill="1" applyBorder="1"/>
    <xf numFmtId="10" fontId="0" fillId="0" borderId="0" xfId="0" applyNumberFormat="1" applyBorder="1"/>
    <xf numFmtId="9" fontId="0" fillId="0" borderId="0" xfId="0" applyNumberFormat="1" applyBorder="1"/>
    <xf numFmtId="166" fontId="0" fillId="0" borderId="0" xfId="0" applyNumberFormat="1" applyBorder="1"/>
    <xf numFmtId="164" fontId="0" fillId="0" borderId="0" xfId="1" applyNumberFormat="1" applyFont="1" applyBorder="1"/>
    <xf numFmtId="3" fontId="0" fillId="4" borderId="0" xfId="0" applyNumberFormat="1" applyFill="1"/>
    <xf numFmtId="0" fontId="0" fillId="9" borderId="0" xfId="0" applyFill="1"/>
    <xf numFmtId="164" fontId="0" fillId="0" borderId="0" xfId="0" applyNumberFormat="1" applyFill="1"/>
    <xf numFmtId="3" fontId="3" fillId="0" borderId="0" xfId="0" applyNumberFormat="1" applyFont="1" applyFill="1"/>
    <xf numFmtId="0" fontId="0" fillId="10" borderId="0" xfId="0" applyFill="1"/>
    <xf numFmtId="0" fontId="0" fillId="11" borderId="0" xfId="0" applyFill="1"/>
    <xf numFmtId="0" fontId="13" fillId="12" borderId="0" xfId="2" applyFont="1" applyFill="1"/>
    <xf numFmtId="0" fontId="14" fillId="12" borderId="0" xfId="2" applyFont="1" applyFill="1"/>
    <xf numFmtId="0" fontId="13" fillId="0" borderId="0" xfId="2" applyFont="1" applyFill="1"/>
    <xf numFmtId="0" fontId="14" fillId="0" borderId="0" xfId="2" applyFont="1" applyFill="1"/>
    <xf numFmtId="0" fontId="14" fillId="12" borderId="0" xfId="3" applyFont="1" applyFill="1"/>
    <xf numFmtId="168" fontId="14" fillId="12" borderId="0" xfId="2" applyNumberFormat="1" applyFont="1" applyFill="1"/>
    <xf numFmtId="168" fontId="14" fillId="0" borderId="0" xfId="2" applyNumberFormat="1" applyFont="1"/>
    <xf numFmtId="0" fontId="14" fillId="0" borderId="0" xfId="2" applyFont="1"/>
    <xf numFmtId="0" fontId="13" fillId="13" borderId="1" xfId="2" applyFont="1" applyFill="1" applyBorder="1"/>
    <xf numFmtId="0" fontId="13" fillId="13" borderId="2" xfId="2" applyFont="1" applyFill="1" applyBorder="1"/>
    <xf numFmtId="0" fontId="13" fillId="13" borderId="3" xfId="2" applyFont="1" applyFill="1" applyBorder="1"/>
    <xf numFmtId="0" fontId="14" fillId="13" borderId="2" xfId="2" applyFont="1" applyFill="1" applyBorder="1"/>
    <xf numFmtId="0" fontId="14" fillId="13" borderId="3" xfId="2" applyFont="1" applyFill="1" applyBorder="1"/>
    <xf numFmtId="0" fontId="14" fillId="12" borderId="4" xfId="2" applyFont="1" applyFill="1" applyBorder="1"/>
    <xf numFmtId="0" fontId="14" fillId="12" borderId="0" xfId="2" applyFont="1" applyFill="1" applyAlignment="1">
      <alignment horizontal="left"/>
    </xf>
    <xf numFmtId="0" fontId="14" fillId="12" borderId="4" xfId="2" applyFont="1" applyFill="1" applyBorder="1" applyAlignment="1">
      <alignment horizontal="left"/>
    </xf>
    <xf numFmtId="0" fontId="13" fillId="12" borderId="4" xfId="2" applyFont="1" applyFill="1" applyBorder="1"/>
    <xf numFmtId="37" fontId="14" fillId="12" borderId="5" xfId="2" applyNumberFormat="1" applyFont="1" applyFill="1" applyBorder="1"/>
    <xf numFmtId="169" fontId="16" fillId="12" borderId="6" xfId="3" applyNumberFormat="1" applyFont="1" applyFill="1" applyBorder="1"/>
    <xf numFmtId="39" fontId="14" fillId="12" borderId="5" xfId="2" applyNumberFormat="1" applyFont="1" applyFill="1" applyBorder="1"/>
    <xf numFmtId="171" fontId="15" fillId="12" borderId="0" xfId="2" applyNumberFormat="1" applyFont="1" applyFill="1"/>
    <xf numFmtId="38" fontId="14" fillId="12" borderId="5" xfId="2" applyNumberFormat="1" applyFont="1" applyFill="1" applyBorder="1"/>
    <xf numFmtId="0" fontId="14" fillId="12" borderId="7" xfId="2" applyFont="1" applyFill="1" applyBorder="1"/>
    <xf numFmtId="0" fontId="13" fillId="12" borderId="8" xfId="2" applyFont="1" applyFill="1" applyBorder="1" applyAlignment="1">
      <alignment horizontal="left"/>
    </xf>
    <xf numFmtId="0" fontId="14" fillId="12" borderId="8" xfId="2" applyFont="1" applyFill="1" applyBorder="1"/>
    <xf numFmtId="170" fontId="13" fillId="12" borderId="9" xfId="3" applyNumberFormat="1" applyFont="1" applyFill="1" applyBorder="1"/>
    <xf numFmtId="168" fontId="13" fillId="12" borderId="0" xfId="2" applyNumberFormat="1" applyFont="1" applyFill="1"/>
    <xf numFmtId="10" fontId="14" fillId="12" borderId="0" xfId="2" applyNumberFormat="1" applyFont="1" applyFill="1"/>
    <xf numFmtId="0" fontId="14" fillId="12" borderId="5" xfId="2" applyFont="1" applyFill="1" applyBorder="1"/>
    <xf numFmtId="0" fontId="14" fillId="12" borderId="10" xfId="2" applyFont="1" applyFill="1" applyBorder="1"/>
    <xf numFmtId="0" fontId="14" fillId="12" borderId="11" xfId="2" applyFont="1" applyFill="1" applyBorder="1" applyAlignment="1">
      <alignment horizontal="left"/>
    </xf>
    <xf numFmtId="0" fontId="14" fillId="12" borderId="11" xfId="2" applyFont="1" applyFill="1" applyBorder="1"/>
    <xf numFmtId="168" fontId="14" fillId="12" borderId="12" xfId="2" applyNumberFormat="1" applyFont="1" applyFill="1" applyBorder="1"/>
    <xf numFmtId="9" fontId="16" fillId="12" borderId="6" xfId="3" applyNumberFormat="1" applyFont="1" applyFill="1" applyBorder="1"/>
    <xf numFmtId="0" fontId="13" fillId="12" borderId="7" xfId="2" applyFont="1" applyFill="1" applyBorder="1"/>
    <xf numFmtId="0" fontId="14" fillId="12" borderId="9" xfId="2" applyFont="1" applyFill="1" applyBorder="1"/>
    <xf numFmtId="168" fontId="14" fillId="12" borderId="5" xfId="3" applyNumberFormat="1" applyFont="1" applyFill="1" applyBorder="1"/>
    <xf numFmtId="0" fontId="12" fillId="12" borderId="0" xfId="2" applyFill="1"/>
    <xf numFmtId="168" fontId="13" fillId="12" borderId="9" xfId="3" applyNumberFormat="1" applyFont="1" applyFill="1" applyBorder="1"/>
    <xf numFmtId="0" fontId="13" fillId="13" borderId="2" xfId="2" applyFont="1" applyFill="1" applyBorder="1" applyAlignment="1">
      <alignment horizontal="right"/>
    </xf>
    <xf numFmtId="0" fontId="13" fillId="13" borderId="3" xfId="2" applyFont="1" applyFill="1" applyBorder="1" applyAlignment="1">
      <alignment horizontal="right"/>
    </xf>
    <xf numFmtId="38" fontId="14" fillId="0" borderId="0" xfId="2" applyNumberFormat="1" applyFont="1"/>
    <xf numFmtId="37" fontId="14" fillId="0" borderId="0" xfId="2" applyNumberFormat="1" applyFont="1"/>
    <xf numFmtId="0" fontId="13" fillId="12" borderId="8" xfId="2" applyFont="1" applyFill="1" applyBorder="1"/>
    <xf numFmtId="172" fontId="13" fillId="12" borderId="9" xfId="2" applyNumberFormat="1" applyFont="1" applyFill="1" applyBorder="1"/>
    <xf numFmtId="10" fontId="0" fillId="0" borderId="13" xfId="0" applyNumberFormat="1" applyFill="1" applyBorder="1"/>
    <xf numFmtId="173" fontId="15" fillId="12" borderId="0" xfId="2" applyNumberFormat="1" applyFont="1" applyFill="1"/>
    <xf numFmtId="10" fontId="15" fillId="0" borderId="0" xfId="2" applyNumberFormat="1" applyFont="1"/>
    <xf numFmtId="174" fontId="14" fillId="12" borderId="5" xfId="2" applyNumberFormat="1" applyFont="1" applyFill="1" applyBorder="1"/>
    <xf numFmtId="175" fontId="14" fillId="12" borderId="5" xfId="2" applyNumberFormat="1" applyFont="1" applyFill="1" applyBorder="1"/>
    <xf numFmtId="10" fontId="13" fillId="14" borderId="8" xfId="2" applyNumberFormat="1" applyFont="1" applyFill="1" applyBorder="1"/>
    <xf numFmtId="175" fontId="14" fillId="12" borderId="5" xfId="3" applyNumberFormat="1" applyFont="1" applyFill="1" applyBorder="1"/>
    <xf numFmtId="174" fontId="13" fillId="12" borderId="5" xfId="2" applyNumberFormat="1" applyFont="1" applyFill="1" applyBorder="1"/>
    <xf numFmtId="0" fontId="14" fillId="12" borderId="0" xfId="2" applyFont="1" applyFill="1" applyBorder="1"/>
    <xf numFmtId="174" fontId="14" fillId="12" borderId="0" xfId="2" applyNumberFormat="1" applyFont="1" applyFill="1" applyBorder="1"/>
    <xf numFmtId="174" fontId="13" fillId="12" borderId="0" xfId="2" applyNumberFormat="1" applyFont="1" applyFill="1" applyBorder="1"/>
    <xf numFmtId="0" fontId="13" fillId="12" borderId="0" xfId="2" applyFont="1" applyFill="1" applyBorder="1"/>
    <xf numFmtId="0" fontId="0" fillId="0" borderId="14" xfId="0" applyBorder="1"/>
    <xf numFmtId="0" fontId="1" fillId="0" borderId="0" xfId="0" applyFont="1" applyFill="1" applyAlignment="1"/>
    <xf numFmtId="0" fontId="0" fillId="0" borderId="15" xfId="0" applyBorder="1" applyAlignment="1">
      <alignment horizontal="right"/>
    </xf>
    <xf numFmtId="172" fontId="13" fillId="8" borderId="8" xfId="2" applyNumberFormat="1" applyFont="1" applyFill="1" applyBorder="1"/>
    <xf numFmtId="0" fontId="20" fillId="12" borderId="0" xfId="4" applyFont="1" applyFill="1"/>
    <xf numFmtId="0" fontId="21" fillId="12" borderId="0" xfId="4" applyFont="1" applyFill="1"/>
    <xf numFmtId="0" fontId="20" fillId="12" borderId="8" xfId="4" applyFont="1" applyFill="1" applyBorder="1"/>
    <xf numFmtId="0" fontId="23" fillId="12" borderId="8" xfId="4" applyFont="1" applyFill="1" applyBorder="1"/>
    <xf numFmtId="176" fontId="20" fillId="12" borderId="8" xfId="4" quotePrefix="1" applyNumberFormat="1" applyFont="1" applyFill="1" applyBorder="1" applyAlignment="1">
      <alignment horizontal="center" vertical="center"/>
    </xf>
    <xf numFmtId="0" fontId="24" fillId="12" borderId="7" xfId="4" applyFont="1" applyFill="1" applyBorder="1" applyAlignment="1">
      <alignment horizontal="left"/>
    </xf>
    <xf numFmtId="0" fontId="24" fillId="12" borderId="0" xfId="4" applyFont="1" applyFill="1"/>
    <xf numFmtId="0" fontId="24" fillId="12" borderId="4" xfId="4" applyFont="1" applyFill="1" applyBorder="1" applyAlignment="1">
      <alignment horizontal="left"/>
    </xf>
    <xf numFmtId="0" fontId="20" fillId="12" borderId="5" xfId="4" applyFont="1" applyFill="1" applyBorder="1"/>
    <xf numFmtId="0" fontId="26" fillId="12" borderId="4" xfId="4" applyFont="1" applyFill="1" applyBorder="1"/>
    <xf numFmtId="0" fontId="27" fillId="12" borderId="4" xfId="4" applyFont="1" applyFill="1" applyBorder="1"/>
    <xf numFmtId="0" fontId="20" fillId="12" borderId="4" xfId="4" applyFont="1" applyFill="1" applyBorder="1"/>
    <xf numFmtId="0" fontId="20" fillId="15" borderId="5" xfId="4" applyFont="1" applyFill="1" applyBorder="1"/>
    <xf numFmtId="0" fontId="21" fillId="15" borderId="12" xfId="4" applyFont="1" applyFill="1" applyBorder="1"/>
    <xf numFmtId="0" fontId="21" fillId="15" borderId="11" xfId="4" applyFont="1" applyFill="1" applyBorder="1"/>
    <xf numFmtId="0" fontId="17" fillId="15" borderId="11" xfId="4" applyFont="1" applyFill="1" applyBorder="1"/>
    <xf numFmtId="0" fontId="28" fillId="15" borderId="11" xfId="4" applyFont="1" applyFill="1" applyBorder="1"/>
    <xf numFmtId="0" fontId="29" fillId="15" borderId="10" xfId="4" applyFont="1" applyFill="1" applyBorder="1"/>
    <xf numFmtId="0" fontId="20" fillId="12" borderId="0" xfId="4" applyFont="1" applyFill="1" applyBorder="1"/>
    <xf numFmtId="0" fontId="27" fillId="12" borderId="0" xfId="4" applyFont="1" applyFill="1" applyBorder="1"/>
    <xf numFmtId="0" fontId="17" fillId="15" borderId="0" xfId="4" applyFont="1" applyFill="1" applyBorder="1"/>
    <xf numFmtId="0" fontId="20" fillId="15" borderId="0" xfId="4" applyFont="1" applyFill="1" applyBorder="1"/>
    <xf numFmtId="0" fontId="20" fillId="0" borderId="0" xfId="4" applyFont="1" applyBorder="1"/>
    <xf numFmtId="14" fontId="20" fillId="12" borderId="0" xfId="4" applyNumberFormat="1" applyFont="1" applyFill="1" applyBorder="1" applyAlignment="1">
      <alignment horizontal="left"/>
    </xf>
    <xf numFmtId="0" fontId="27" fillId="12" borderId="0" xfId="4" applyFont="1" applyFill="1" applyBorder="1" applyAlignment="1">
      <alignment horizontal="left"/>
    </xf>
    <xf numFmtId="0" fontId="25" fillId="12" borderId="0" xfId="4" applyFont="1" applyFill="1" applyBorder="1"/>
    <xf numFmtId="176" fontId="20" fillId="12" borderId="0" xfId="4" quotePrefix="1" applyNumberFormat="1" applyFont="1" applyFill="1" applyBorder="1" applyAlignment="1">
      <alignment horizontal="center" vertical="center"/>
    </xf>
    <xf numFmtId="0" fontId="25" fillId="6" borderId="0" xfId="4" applyFont="1" applyFill="1" applyBorder="1"/>
    <xf numFmtId="0" fontId="24" fillId="12" borderId="0" xfId="4" applyFont="1" applyFill="1" applyBorder="1"/>
    <xf numFmtId="0" fontId="30" fillId="17" borderId="0" xfId="5" applyFont="1" applyFill="1" applyBorder="1"/>
    <xf numFmtId="0" fontId="31" fillId="17" borderId="0" xfId="4" applyFont="1" applyFill="1" applyBorder="1"/>
    <xf numFmtId="0" fontId="31" fillId="17" borderId="5" xfId="4" applyFont="1" applyFill="1" applyBorder="1"/>
    <xf numFmtId="0" fontId="30" fillId="12" borderId="0" xfId="5" applyFont="1" applyFill="1" applyBorder="1"/>
    <xf numFmtId="0" fontId="31" fillId="12" borderId="0" xfId="4" applyFont="1" applyFill="1" applyBorder="1"/>
    <xf numFmtId="0" fontId="31" fillId="12" borderId="5" xfId="4" applyFont="1" applyFill="1" applyBorder="1"/>
    <xf numFmtId="0" fontId="30" fillId="17" borderId="8" xfId="5" applyFont="1" applyFill="1" applyBorder="1"/>
    <xf numFmtId="0" fontId="31" fillId="17" borderId="8" xfId="4" applyFont="1" applyFill="1" applyBorder="1"/>
    <xf numFmtId="0" fontId="31" fillId="17" borderId="9" xfId="4" applyFont="1" applyFill="1" applyBorder="1"/>
    <xf numFmtId="0" fontId="20" fillId="12" borderId="0" xfId="4" applyFont="1" applyFill="1" applyBorder="1" applyAlignment="1">
      <alignment horizontal="center" wrapText="1"/>
    </xf>
    <xf numFmtId="0" fontId="20" fillId="12" borderId="5" xfId="4" applyFont="1" applyFill="1" applyBorder="1" applyAlignment="1">
      <alignment horizontal="center" wrapText="1"/>
    </xf>
    <xf numFmtId="0" fontId="18" fillId="16" borderId="0" xfId="0" applyFont="1" applyFill="1" applyAlignment="1">
      <alignment horizontal="center"/>
    </xf>
    <xf numFmtId="0" fontId="18" fillId="16" borderId="5" xfId="0" applyFont="1" applyFill="1" applyBorder="1" applyAlignment="1">
      <alignment horizontal="center"/>
    </xf>
    <xf numFmtId="0" fontId="17" fillId="15" borderId="0" xfId="0" applyFont="1" applyFill="1" applyAlignment="1">
      <alignment horizontal="center"/>
    </xf>
    <xf numFmtId="0" fontId="0" fillId="0" borderId="0" xfId="0" applyFill="1" applyBorder="1" applyAlignment="1">
      <alignment horizontal="center" wrapText="1"/>
    </xf>
  </cellXfs>
  <cellStyles count="6">
    <cellStyle name="Comma" xfId="1" builtinId="3"/>
    <cellStyle name="Hyperlink" xfId="5" builtinId="8"/>
    <cellStyle name="Normal" xfId="0" builtinId="0"/>
    <cellStyle name="Normal 2" xfId="2" xr:uid="{F9FE9528-168C-46B8-B01F-CC5D718CCD94}"/>
    <cellStyle name="Normal 2 2" xfId="4" xr:uid="{22A1BD42-3F7B-49FC-B779-880576EE70C6}"/>
    <cellStyle name="Normal_DCF analysis" xfId="3" xr:uid="{D5BC2D34-E2E1-46E2-BED1-41151684B5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17929</xdr:colOff>
      <xdr:row>2</xdr:row>
      <xdr:rowOff>0</xdr:rowOff>
    </xdr:from>
    <xdr:to>
      <xdr:col>4</xdr:col>
      <xdr:colOff>412376</xdr:colOff>
      <xdr:row>12</xdr:row>
      <xdr:rowOff>164339</xdr:rowOff>
    </xdr:to>
    <xdr:pic>
      <xdr:nvPicPr>
        <xdr:cNvPr id="3" name="Picture 2" descr="Image result for Wynn Macau logo">
          <a:extLst>
            <a:ext uri="{FF2B5EF4-FFF2-40B4-BE49-F238E27FC236}">
              <a16:creationId xmlns:a16="http://schemas.microsoft.com/office/drawing/2014/main" id="{D5AE9A6E-118F-42A7-A7CC-A8092AA77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1341" y="600635"/>
          <a:ext cx="3693459" cy="18765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7D756-9488-4A83-BF38-D1836B878590}">
  <sheetPr>
    <tabColor theme="1"/>
  </sheetPr>
  <dimension ref="A2:P31"/>
  <sheetViews>
    <sheetView zoomScaleNormal="100" workbookViewId="0">
      <selection activeCell="E23" sqref="E23"/>
    </sheetView>
  </sheetViews>
  <sheetFormatPr defaultColWidth="9" defaultRowHeight="13.2" x14ac:dyDescent="0.3"/>
  <cols>
    <col min="1" max="1" width="5.88671875" style="138" bestFit="1" customWidth="1"/>
    <col min="2" max="2" width="26.44140625" style="138" customWidth="1"/>
    <col min="3" max="3" width="12.6640625" style="138" customWidth="1"/>
    <col min="4" max="4" width="9" style="138"/>
    <col min="5" max="5" width="37.6640625" style="138" customWidth="1"/>
    <col min="6" max="6" width="9" style="138"/>
    <col min="7" max="7" width="23.88671875" style="138" bestFit="1" customWidth="1"/>
    <col min="8" max="8" width="9" style="138"/>
    <col min="9" max="9" width="21.109375" style="138" customWidth="1"/>
    <col min="10" max="11" width="9" style="138"/>
    <col min="12" max="12" width="15.88671875" style="138" customWidth="1"/>
    <col min="13" max="16384" width="9" style="138"/>
  </cols>
  <sheetData>
    <row r="2" spans="1:16" ht="34.200000000000003" x14ac:dyDescent="0.5">
      <c r="A2" s="144"/>
      <c r="B2" s="155" t="s">
        <v>356</v>
      </c>
      <c r="C2" s="154"/>
      <c r="D2" s="154"/>
      <c r="E2" s="153"/>
      <c r="F2" s="152"/>
      <c r="G2" s="152"/>
      <c r="H2" s="152"/>
      <c r="I2" s="152"/>
      <c r="J2" s="152"/>
      <c r="K2" s="152"/>
      <c r="L2" s="151"/>
      <c r="M2" s="139"/>
      <c r="N2" s="139"/>
      <c r="O2" s="139"/>
      <c r="P2" s="139"/>
    </row>
    <row r="3" spans="1:16" x14ac:dyDescent="0.3">
      <c r="B3" s="149"/>
      <c r="C3" s="156"/>
      <c r="D3" s="156"/>
      <c r="E3" s="156"/>
      <c r="F3" s="156"/>
      <c r="G3" s="156"/>
      <c r="H3" s="156"/>
      <c r="I3" s="156"/>
      <c r="J3" s="156"/>
      <c r="K3" s="156"/>
      <c r="L3" s="146"/>
    </row>
    <row r="4" spans="1:16" x14ac:dyDescent="0.3">
      <c r="B4" s="149"/>
      <c r="C4" s="156"/>
      <c r="D4" s="156"/>
      <c r="E4" s="156"/>
      <c r="F4" s="156"/>
      <c r="G4" s="157" t="s">
        <v>355</v>
      </c>
      <c r="H4" s="156"/>
      <c r="I4" s="156"/>
      <c r="J4" s="156"/>
      <c r="K4" s="156"/>
      <c r="L4" s="146"/>
    </row>
    <row r="5" spans="1:16" x14ac:dyDescent="0.3">
      <c r="B5" s="149"/>
      <c r="C5" s="156"/>
      <c r="D5" s="156"/>
      <c r="E5" s="156"/>
      <c r="F5" s="156"/>
      <c r="G5" s="176" t="s">
        <v>359</v>
      </c>
      <c r="H5" s="176"/>
      <c r="I5" s="176"/>
      <c r="J5" s="176"/>
      <c r="K5" s="176"/>
      <c r="L5" s="177"/>
    </row>
    <row r="6" spans="1:16" x14ac:dyDescent="0.3">
      <c r="B6" s="149"/>
      <c r="C6" s="156"/>
      <c r="D6" s="156"/>
      <c r="E6" s="156"/>
      <c r="F6" s="156"/>
      <c r="G6" s="176"/>
      <c r="H6" s="176"/>
      <c r="I6" s="176"/>
      <c r="J6" s="176"/>
      <c r="K6" s="176"/>
      <c r="L6" s="177"/>
    </row>
    <row r="7" spans="1:16" ht="14.4" x14ac:dyDescent="0.3">
      <c r="B7" s="149"/>
      <c r="C7" s="58"/>
      <c r="D7" s="156"/>
      <c r="E7" s="156"/>
      <c r="F7" s="156"/>
      <c r="G7" s="176"/>
      <c r="H7" s="176"/>
      <c r="I7" s="176"/>
      <c r="J7" s="176"/>
      <c r="K7" s="176"/>
      <c r="L7" s="177"/>
    </row>
    <row r="8" spans="1:16" x14ac:dyDescent="0.3">
      <c r="B8" s="149"/>
      <c r="C8" s="156"/>
      <c r="D8" s="156"/>
      <c r="E8" s="156"/>
      <c r="F8" s="156"/>
      <c r="G8" s="176"/>
      <c r="H8" s="176"/>
      <c r="I8" s="176"/>
      <c r="J8" s="176"/>
      <c r="K8" s="176"/>
      <c r="L8" s="177"/>
    </row>
    <row r="9" spans="1:16" ht="13.2" customHeight="1" x14ac:dyDescent="0.3">
      <c r="B9" s="149"/>
      <c r="C9" s="156"/>
      <c r="D9" s="156"/>
      <c r="E9" s="156"/>
      <c r="F9" s="156"/>
      <c r="G9" s="176"/>
      <c r="H9" s="176"/>
      <c r="I9" s="176"/>
      <c r="J9" s="176"/>
      <c r="K9" s="176"/>
      <c r="L9" s="177"/>
    </row>
    <row r="10" spans="1:16" ht="13.2" customHeight="1" x14ac:dyDescent="0.3">
      <c r="B10" s="149"/>
      <c r="C10" s="156"/>
      <c r="D10" s="156"/>
      <c r="E10" s="156"/>
      <c r="F10" s="156"/>
      <c r="G10" s="156"/>
      <c r="H10" s="156"/>
      <c r="I10" s="156"/>
      <c r="J10" s="156"/>
      <c r="K10" s="156"/>
      <c r="L10" s="146"/>
    </row>
    <row r="11" spans="1:16" x14ac:dyDescent="0.3">
      <c r="B11" s="149"/>
      <c r="C11" s="156"/>
      <c r="D11" s="156"/>
      <c r="E11" s="156"/>
      <c r="F11" s="156"/>
      <c r="G11" s="156"/>
      <c r="H11" s="156"/>
      <c r="I11" s="156"/>
      <c r="J11" s="156"/>
      <c r="K11" s="156"/>
      <c r="L11" s="146"/>
    </row>
    <row r="12" spans="1:16" x14ac:dyDescent="0.3">
      <c r="B12" s="149"/>
      <c r="C12" s="156"/>
      <c r="D12" s="156"/>
      <c r="E12" s="156"/>
      <c r="F12" s="156"/>
      <c r="G12" s="156"/>
      <c r="H12" s="156"/>
      <c r="I12" s="156"/>
      <c r="J12" s="156"/>
      <c r="K12" s="156"/>
      <c r="L12" s="146"/>
    </row>
    <row r="13" spans="1:16" x14ac:dyDescent="0.3">
      <c r="B13" s="149"/>
      <c r="C13" s="156"/>
      <c r="D13" s="156"/>
      <c r="E13" s="156"/>
      <c r="F13" s="156"/>
      <c r="G13" s="156"/>
      <c r="H13" s="156"/>
      <c r="I13" s="156"/>
      <c r="J13" s="156"/>
      <c r="K13" s="156"/>
      <c r="L13" s="146"/>
    </row>
    <row r="14" spans="1:16" x14ac:dyDescent="0.3">
      <c r="B14" s="148" t="s">
        <v>349</v>
      </c>
      <c r="C14" s="156"/>
      <c r="D14" s="156"/>
      <c r="E14" s="156"/>
      <c r="F14" s="156"/>
      <c r="G14" s="158" t="s">
        <v>354</v>
      </c>
      <c r="H14" s="159"/>
      <c r="I14" s="159"/>
      <c r="J14" s="159"/>
      <c r="K14" s="159"/>
      <c r="L14" s="150"/>
    </row>
    <row r="15" spans="1:16" x14ac:dyDescent="0.3">
      <c r="B15" s="145" t="s">
        <v>346</v>
      </c>
      <c r="C15" s="156" t="s">
        <v>356</v>
      </c>
      <c r="D15" s="156"/>
      <c r="E15" s="156"/>
      <c r="F15" s="156"/>
      <c r="G15" s="167" t="s">
        <v>353</v>
      </c>
      <c r="H15" s="168" t="s">
        <v>352</v>
      </c>
      <c r="I15" s="168"/>
      <c r="J15" s="168"/>
      <c r="K15" s="168"/>
      <c r="L15" s="169"/>
    </row>
    <row r="16" spans="1:16" x14ac:dyDescent="0.3">
      <c r="B16" s="145" t="s">
        <v>345</v>
      </c>
      <c r="C16" s="160" t="s">
        <v>357</v>
      </c>
      <c r="D16" s="156"/>
      <c r="E16" s="156"/>
      <c r="F16" s="156"/>
      <c r="G16" s="170" t="s">
        <v>351</v>
      </c>
      <c r="H16" s="171" t="s">
        <v>350</v>
      </c>
      <c r="I16" s="171"/>
      <c r="J16" s="171"/>
      <c r="K16" s="171"/>
      <c r="L16" s="172"/>
    </row>
    <row r="17" spans="1:12" x14ac:dyDescent="0.3">
      <c r="B17" s="145" t="s">
        <v>344</v>
      </c>
      <c r="C17" s="161">
        <v>43465</v>
      </c>
      <c r="D17" s="156"/>
      <c r="E17" s="162" t="s">
        <v>343</v>
      </c>
      <c r="F17" s="156"/>
      <c r="G17" s="167" t="s">
        <v>348</v>
      </c>
      <c r="H17" s="168" t="s">
        <v>347</v>
      </c>
      <c r="I17" s="168"/>
      <c r="J17" s="168"/>
      <c r="K17" s="168"/>
      <c r="L17" s="169"/>
    </row>
    <row r="18" spans="1:12" x14ac:dyDescent="0.3">
      <c r="B18" s="147" t="s">
        <v>342</v>
      </c>
      <c r="C18" s="156" t="s">
        <v>358</v>
      </c>
      <c r="D18" s="156"/>
      <c r="E18" s="163" t="s">
        <v>341</v>
      </c>
      <c r="F18" s="156"/>
      <c r="G18" s="170" t="s">
        <v>363</v>
      </c>
      <c r="H18" s="171" t="s">
        <v>367</v>
      </c>
      <c r="I18" s="171"/>
      <c r="J18" s="171"/>
      <c r="K18" s="171"/>
      <c r="L18" s="172"/>
    </row>
    <row r="19" spans="1:12" x14ac:dyDescent="0.3">
      <c r="B19" s="145" t="s">
        <v>340</v>
      </c>
      <c r="C19" s="164" t="s">
        <v>360</v>
      </c>
      <c r="D19" s="156"/>
      <c r="E19" s="165" t="s">
        <v>339</v>
      </c>
      <c r="F19" s="156"/>
      <c r="G19" s="167" t="s">
        <v>364</v>
      </c>
      <c r="H19" s="168" t="s">
        <v>368</v>
      </c>
      <c r="I19" s="168"/>
      <c r="J19" s="168"/>
      <c r="K19" s="168"/>
      <c r="L19" s="169"/>
    </row>
    <row r="20" spans="1:12" x14ac:dyDescent="0.3">
      <c r="B20" s="145" t="s">
        <v>361</v>
      </c>
      <c r="C20" s="164">
        <v>18.559999999999999</v>
      </c>
      <c r="D20" s="156"/>
      <c r="E20" s="166" t="s">
        <v>338</v>
      </c>
      <c r="F20" s="156"/>
      <c r="G20" s="170" t="s">
        <v>365</v>
      </c>
      <c r="H20" s="171" t="s">
        <v>369</v>
      </c>
      <c r="I20" s="171"/>
      <c r="J20" s="171"/>
      <c r="K20" s="171"/>
      <c r="L20" s="172"/>
    </row>
    <row r="21" spans="1:12" x14ac:dyDescent="0.3">
      <c r="B21" s="143" t="s">
        <v>362</v>
      </c>
      <c r="C21" s="142">
        <f ca="1">'DCF Analysis'!E39</f>
        <v>10.140878042937253</v>
      </c>
      <c r="D21" s="140"/>
      <c r="E21" s="141" t="s">
        <v>337</v>
      </c>
      <c r="F21" s="140"/>
      <c r="G21" s="173" t="s">
        <v>366</v>
      </c>
      <c r="H21" s="174" t="s">
        <v>370</v>
      </c>
      <c r="I21" s="174"/>
      <c r="J21" s="174"/>
      <c r="K21" s="174"/>
      <c r="L21" s="175"/>
    </row>
    <row r="29" spans="1:12" x14ac:dyDescent="0.3">
      <c r="A29" s="139" t="s">
        <v>336</v>
      </c>
    </row>
    <row r="30" spans="1:12" x14ac:dyDescent="0.3">
      <c r="A30" s="139" t="s">
        <v>335</v>
      </c>
    </row>
    <row r="31" spans="1:12" x14ac:dyDescent="0.3">
      <c r="A31" s="139" t="s">
        <v>334</v>
      </c>
    </row>
  </sheetData>
  <mergeCells count="1">
    <mergeCell ref="G5:L9"/>
  </mergeCells>
  <hyperlinks>
    <hyperlink ref="G15" location="'Income Statement'!A1" display="1. Income Statement" xr:uid="{981BAD1E-E013-4497-B54D-FB6A9F7093DC}"/>
    <hyperlink ref="G16" location="'Balance Sheet'!A1" display="2. Balance Sheet" xr:uid="{91A4B189-B253-4A6A-98BB-351351FB9D7D}"/>
    <hyperlink ref="G17" location="'Cash Flow Statement'!A1" display="3. Cash Flow Statement" xr:uid="{88102C62-8FC0-47EB-BF88-2D6EA1AC2265}"/>
    <hyperlink ref="G18" location="Depreciation!A1" display="4. Depreciation" xr:uid="{7F3791FD-C524-460E-AF3B-0F073D4AE2C1}"/>
    <hyperlink ref="G19" location="'Operating Working Capital'!A1" display="5. Operating Working Capital" xr:uid="{1BDFC1E2-58BA-4308-BD39-BFFD7EE088DF}"/>
    <hyperlink ref="G20" location="'Debt Schedule'!A1" display="6. Debt Schedule" xr:uid="{D1F5C74A-E012-47FF-9FD0-A6C987B41EB9}"/>
    <hyperlink ref="G21" location="'DCF Analysis'!A1" display="7. DCF Analysis" xr:uid="{B5A7E46D-512F-4873-AE16-F48BCCD58AEB}"/>
  </hyperlinks>
  <pageMargins left="0.7" right="0.7" top="0.75" bottom="0.75" header="0.3" footer="0.3"/>
  <pageSetup paperSize="9"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N51"/>
  <sheetViews>
    <sheetView topLeftCell="A34" zoomScaleNormal="100" workbookViewId="0"/>
  </sheetViews>
  <sheetFormatPr defaultRowHeight="14.4" x14ac:dyDescent="0.3"/>
  <cols>
    <col min="2" max="2" width="37.21875" bestFit="1" customWidth="1"/>
    <col min="3" max="3" width="11.6640625" customWidth="1"/>
    <col min="4" max="4" width="10" bestFit="1" customWidth="1"/>
    <col min="5" max="7" width="10.5546875" bestFit="1" customWidth="1"/>
    <col min="8" max="8" width="13.109375" bestFit="1" customWidth="1"/>
    <col min="9" max="12" width="10.44140625" bestFit="1" customWidth="1"/>
    <col min="14" max="14" width="12.109375" hidden="1" customWidth="1"/>
  </cols>
  <sheetData>
    <row r="2" spans="2:14" x14ac:dyDescent="0.3">
      <c r="D2" s="180" t="s">
        <v>332</v>
      </c>
      <c r="E2" s="180"/>
      <c r="F2" s="180"/>
      <c r="G2" s="180"/>
      <c r="H2" s="178" t="s">
        <v>333</v>
      </c>
      <c r="I2" s="178"/>
      <c r="J2" s="178"/>
      <c r="K2" s="178"/>
      <c r="L2" s="179"/>
    </row>
    <row r="3" spans="2:14" ht="15" thickBot="1" x14ac:dyDescent="0.35">
      <c r="B3" s="134" t="s">
        <v>331</v>
      </c>
      <c r="C3" s="58"/>
      <c r="D3" s="136" t="s">
        <v>109</v>
      </c>
      <c r="E3" s="136" t="s">
        <v>110</v>
      </c>
      <c r="F3" s="136" t="s">
        <v>111</v>
      </c>
      <c r="G3" s="136" t="s">
        <v>112</v>
      </c>
      <c r="H3" s="136" t="s">
        <v>113</v>
      </c>
      <c r="I3" s="136" t="s">
        <v>114</v>
      </c>
      <c r="J3" s="136" t="s">
        <v>115</v>
      </c>
      <c r="K3" s="136" t="s">
        <v>116</v>
      </c>
      <c r="L3" s="136" t="s">
        <v>117</v>
      </c>
      <c r="M3" s="7"/>
      <c r="N3" t="s">
        <v>106</v>
      </c>
    </row>
    <row r="5" spans="2:14" x14ac:dyDescent="0.3">
      <c r="B5" s="2" t="s">
        <v>0</v>
      </c>
      <c r="C5" s="2"/>
    </row>
    <row r="6" spans="2:14" x14ac:dyDescent="0.3">
      <c r="B6" t="s">
        <v>1</v>
      </c>
      <c r="D6" s="1">
        <v>17887237</v>
      </c>
      <c r="E6" s="1">
        <v>20552497</v>
      </c>
      <c r="F6" s="1">
        <v>29519830</v>
      </c>
      <c r="G6" s="1">
        <v>34096436</v>
      </c>
      <c r="H6" s="9"/>
      <c r="I6" s="9"/>
      <c r="J6" s="9"/>
      <c r="K6" s="9"/>
      <c r="L6" s="9"/>
    </row>
    <row r="7" spans="2:14" x14ac:dyDescent="0.3">
      <c r="B7" t="s">
        <v>2</v>
      </c>
      <c r="D7" s="1">
        <v>122790</v>
      </c>
      <c r="E7" s="1">
        <v>246558</v>
      </c>
      <c r="F7" s="1">
        <v>1695558</v>
      </c>
      <c r="G7" s="1">
        <v>2222337</v>
      </c>
      <c r="H7" s="9"/>
      <c r="I7" s="9"/>
      <c r="J7" s="9"/>
      <c r="K7" s="9"/>
      <c r="L7" s="9"/>
    </row>
    <row r="8" spans="2:14" x14ac:dyDescent="0.3">
      <c r="B8" t="s">
        <v>3</v>
      </c>
      <c r="D8" s="1">
        <v>221872</v>
      </c>
      <c r="E8" s="1">
        <v>329712</v>
      </c>
      <c r="F8" s="1">
        <v>1279559</v>
      </c>
      <c r="G8" s="1">
        <v>1465549</v>
      </c>
      <c r="H8" s="9"/>
      <c r="I8" s="9"/>
      <c r="J8" s="9"/>
      <c r="K8" s="9"/>
      <c r="L8" s="9"/>
    </row>
    <row r="9" spans="2:14" x14ac:dyDescent="0.3">
      <c r="B9" t="s">
        <v>4</v>
      </c>
      <c r="D9" s="1">
        <v>864466</v>
      </c>
      <c r="E9" s="1">
        <v>970711</v>
      </c>
      <c r="F9" s="1">
        <v>1536970</v>
      </c>
      <c r="G9" s="1">
        <v>1807491</v>
      </c>
      <c r="H9" s="9"/>
      <c r="I9" s="9"/>
      <c r="J9" s="9"/>
      <c r="K9" s="9"/>
      <c r="L9" s="9"/>
    </row>
    <row r="10" spans="2:14" x14ac:dyDescent="0.3">
      <c r="B10" t="s">
        <v>5</v>
      </c>
      <c r="D10" s="1">
        <f>SUM(D6:D9)</f>
        <v>19096365</v>
      </c>
      <c r="E10" s="1">
        <f>SUM(E6:E9)</f>
        <v>22099478</v>
      </c>
      <c r="F10" s="1">
        <f>SUM(F6:F9)</f>
        <v>34031917</v>
      </c>
      <c r="G10" s="1">
        <f>SUM(G6:G9)</f>
        <v>39591813</v>
      </c>
      <c r="H10" s="1">
        <f>G10*(1+H11)</f>
        <v>43550994.300000004</v>
      </c>
      <c r="I10" s="1">
        <f t="shared" ref="I10:L10" si="0">H10*(1+I11)</f>
        <v>47906093.730000012</v>
      </c>
      <c r="J10" s="1">
        <f t="shared" si="0"/>
        <v>52696703.103000015</v>
      </c>
      <c r="K10" s="1">
        <f t="shared" si="0"/>
        <v>57966373.413300022</v>
      </c>
      <c r="L10" s="1">
        <f t="shared" si="0"/>
        <v>63763010.754630029</v>
      </c>
    </row>
    <row r="11" spans="2:14" x14ac:dyDescent="0.3">
      <c r="B11" t="s">
        <v>108</v>
      </c>
      <c r="D11" s="1"/>
      <c r="E11" s="6">
        <f>(E10-D10)/D10</f>
        <v>0.15726097610723297</v>
      </c>
      <c r="F11" s="6">
        <f>(F10-E10)/E10</f>
        <v>0.53994211989984564</v>
      </c>
      <c r="G11" s="6">
        <f>(G10-F10)/F10</f>
        <v>0.1633729889503433</v>
      </c>
      <c r="H11" s="8">
        <v>0.1</v>
      </c>
      <c r="I11" s="8">
        <v>0.1</v>
      </c>
      <c r="J11" s="8">
        <v>0.1</v>
      </c>
      <c r="K11" s="8">
        <v>0.1</v>
      </c>
      <c r="L11" s="8">
        <v>0.1</v>
      </c>
      <c r="N11" t="s">
        <v>206</v>
      </c>
    </row>
    <row r="13" spans="2:14" x14ac:dyDescent="0.3">
      <c r="B13" s="2" t="s">
        <v>6</v>
      </c>
      <c r="C13" s="2"/>
    </row>
    <row r="14" spans="2:14" x14ac:dyDescent="0.3">
      <c r="B14" t="s">
        <v>7</v>
      </c>
      <c r="D14" s="1">
        <v>8700935</v>
      </c>
      <c r="E14" s="1">
        <v>10013231</v>
      </c>
      <c r="F14" s="1">
        <v>16736688</v>
      </c>
      <c r="G14" s="1">
        <v>18928022</v>
      </c>
      <c r="H14" s="9"/>
      <c r="I14" s="9"/>
      <c r="J14" s="9"/>
      <c r="K14" s="9"/>
      <c r="L14" s="9"/>
    </row>
    <row r="15" spans="2:14" x14ac:dyDescent="0.3">
      <c r="B15" t="s">
        <v>8</v>
      </c>
      <c r="D15" s="1">
        <v>3121416</v>
      </c>
      <c r="E15" s="1">
        <v>3947835</v>
      </c>
      <c r="F15" s="1">
        <v>4611673</v>
      </c>
      <c r="G15" s="1">
        <v>4986764</v>
      </c>
      <c r="H15" s="9"/>
      <c r="I15" s="9"/>
      <c r="J15" s="9"/>
      <c r="K15" s="9"/>
      <c r="L15" s="9"/>
    </row>
    <row r="16" spans="2:14" x14ac:dyDescent="0.3">
      <c r="B16" t="s">
        <v>9</v>
      </c>
      <c r="D16" s="1">
        <v>3229983</v>
      </c>
      <c r="E16" s="1">
        <v>4257669</v>
      </c>
      <c r="F16" s="1">
        <v>4404471</v>
      </c>
      <c r="G16" s="1">
        <v>5098242</v>
      </c>
      <c r="H16" s="9"/>
      <c r="I16" s="9"/>
      <c r="J16" s="9"/>
      <c r="K16" s="9"/>
      <c r="L16" s="9"/>
    </row>
    <row r="17" spans="2:12" x14ac:dyDescent="0.3">
      <c r="B17" t="s">
        <v>10</v>
      </c>
      <c r="D17" s="1">
        <v>1000373</v>
      </c>
      <c r="E17" s="1">
        <v>1591397</v>
      </c>
      <c r="F17" s="1">
        <v>2775977</v>
      </c>
      <c r="G17" s="1">
        <v>2726414</v>
      </c>
      <c r="H17" s="9"/>
      <c r="I17" s="9"/>
      <c r="J17" s="9"/>
      <c r="K17" s="9"/>
      <c r="L17" s="9"/>
    </row>
    <row r="18" spans="2:12" x14ac:dyDescent="0.3">
      <c r="B18" t="s">
        <v>11</v>
      </c>
      <c r="D18" s="1">
        <v>11599</v>
      </c>
      <c r="E18" s="1">
        <v>24814</v>
      </c>
      <c r="F18" s="1">
        <v>133464</v>
      </c>
      <c r="G18" s="1">
        <v>153916</v>
      </c>
      <c r="H18" s="9"/>
      <c r="I18" s="9"/>
      <c r="J18" s="9"/>
      <c r="K18" s="9"/>
      <c r="L18" s="9"/>
    </row>
    <row r="19" spans="2:12" x14ac:dyDescent="0.3">
      <c r="B19" t="s">
        <v>12</v>
      </c>
      <c r="D19" s="1">
        <f>SUM(D14:D18)</f>
        <v>16064306</v>
      </c>
      <c r="E19" s="1">
        <f>SUM(E14:E18)</f>
        <v>19834946</v>
      </c>
      <c r="F19" s="1">
        <f>SUM(F14:F18)</f>
        <v>28662273</v>
      </c>
      <c r="G19" s="1">
        <f>SUM(G14:G18)</f>
        <v>31893358</v>
      </c>
      <c r="H19" s="1">
        <f>H10*H20</f>
        <v>36582835.212000005</v>
      </c>
      <c r="I19" s="1">
        <f t="shared" ref="I19:L19" si="1">I10*I20</f>
        <v>40241118.733200006</v>
      </c>
      <c r="J19" s="1">
        <f t="shared" si="1"/>
        <v>44265230.606520012</v>
      </c>
      <c r="K19" s="1">
        <f t="shared" si="1"/>
        <v>48691753.667172015</v>
      </c>
      <c r="L19" s="1">
        <f t="shared" si="1"/>
        <v>53560929.033889219</v>
      </c>
    </row>
    <row r="20" spans="2:12" x14ac:dyDescent="0.3">
      <c r="B20" t="s">
        <v>118</v>
      </c>
      <c r="D20" s="6">
        <f>D19/D10</f>
        <v>0.84122323803509202</v>
      </c>
      <c r="E20" s="6">
        <f t="shared" ref="E20:G20" si="2">E19/E10</f>
        <v>0.89753006835727067</v>
      </c>
      <c r="F20" s="6">
        <f t="shared" si="2"/>
        <v>0.84221741020348628</v>
      </c>
      <c r="G20" s="6">
        <f t="shared" si="2"/>
        <v>0.80555437054625412</v>
      </c>
      <c r="H20" s="8">
        <v>0.84</v>
      </c>
      <c r="I20" s="8">
        <v>0.84</v>
      </c>
      <c r="J20" s="8">
        <v>0.84</v>
      </c>
      <c r="K20" s="8">
        <v>0.84</v>
      </c>
      <c r="L20" s="8">
        <v>0.84</v>
      </c>
    </row>
    <row r="21" spans="2:12" x14ac:dyDescent="0.3">
      <c r="D21" s="6"/>
      <c r="E21" s="6"/>
      <c r="F21" s="6"/>
      <c r="G21" s="6"/>
      <c r="H21" s="8"/>
      <c r="I21" s="8"/>
      <c r="J21" s="8"/>
      <c r="K21" s="8"/>
      <c r="L21" s="8"/>
    </row>
    <row r="22" spans="2:12" x14ac:dyDescent="0.3">
      <c r="B22" t="s">
        <v>193</v>
      </c>
      <c r="D22" s="1">
        <f>D14+D15+D18</f>
        <v>11833950</v>
      </c>
      <c r="E22" s="41">
        <f t="shared" ref="E22:G22" si="3">E14+E15+E18</f>
        <v>13985880</v>
      </c>
      <c r="F22" s="41">
        <f t="shared" si="3"/>
        <v>21481825</v>
      </c>
      <c r="G22" s="41">
        <f t="shared" si="3"/>
        <v>24068702</v>
      </c>
      <c r="H22" s="11">
        <f>G22*(1+(H19-G19)/G19)</f>
        <v>27607671.76139731</v>
      </c>
      <c r="I22" s="11">
        <f t="shared" ref="I22:L22" si="4">H22*(1+(I19-H19)/H19)</f>
        <v>30368438.937537044</v>
      </c>
      <c r="J22" s="11">
        <f t="shared" si="4"/>
        <v>33405282.831290752</v>
      </c>
      <c r="K22" s="11">
        <f t="shared" si="4"/>
        <v>36745811.114419833</v>
      </c>
      <c r="L22" s="11">
        <f t="shared" si="4"/>
        <v>40420392.225861818</v>
      </c>
    </row>
    <row r="23" spans="2:12" x14ac:dyDescent="0.3">
      <c r="B23" t="s">
        <v>201</v>
      </c>
      <c r="D23" s="6">
        <f>D22/D10</f>
        <v>0.61969647102995784</v>
      </c>
      <c r="E23" s="6">
        <f t="shared" ref="E23:L23" si="5">E22/E10</f>
        <v>0.63286019696935825</v>
      </c>
      <c r="F23" s="6">
        <f t="shared" si="5"/>
        <v>0.63122582838927355</v>
      </c>
      <c r="G23" s="6">
        <f t="shared" si="5"/>
        <v>0.60792118815069163</v>
      </c>
      <c r="H23" s="6">
        <f t="shared" si="5"/>
        <v>0.63391599216363492</v>
      </c>
      <c r="I23" s="6">
        <f t="shared" si="5"/>
        <v>0.63391599216363481</v>
      </c>
      <c r="J23" s="6">
        <f t="shared" si="5"/>
        <v>0.63391599216363492</v>
      </c>
      <c r="K23" s="6">
        <f t="shared" si="5"/>
        <v>0.63391599216363492</v>
      </c>
      <c r="L23" s="6">
        <f t="shared" si="5"/>
        <v>0.63391599216363492</v>
      </c>
    </row>
    <row r="24" spans="2:12" x14ac:dyDescent="0.3">
      <c r="B24" t="s">
        <v>194</v>
      </c>
      <c r="D24" s="41">
        <f>D16</f>
        <v>3229983</v>
      </c>
      <c r="E24" s="41">
        <f t="shared" ref="E24:G24" si="6">E16</f>
        <v>4257669</v>
      </c>
      <c r="F24" s="41">
        <f t="shared" si="6"/>
        <v>4404471</v>
      </c>
      <c r="G24" s="41">
        <f t="shared" si="6"/>
        <v>5098242</v>
      </c>
      <c r="H24" s="11">
        <f>G24*(1+(H19-G19)/G19)</f>
        <v>5847867.9779312462</v>
      </c>
      <c r="I24" s="11">
        <f t="shared" ref="I24:L24" si="7">H24*(1+(I19-H19)/H19)</f>
        <v>6432654.775724371</v>
      </c>
      <c r="J24" s="11">
        <f t="shared" si="7"/>
        <v>7075920.2532968083</v>
      </c>
      <c r="K24" s="11">
        <f t="shared" si="7"/>
        <v>7783512.2786264895</v>
      </c>
      <c r="L24" s="11">
        <f t="shared" si="7"/>
        <v>8561863.5064891391</v>
      </c>
    </row>
    <row r="25" spans="2:12" x14ac:dyDescent="0.3">
      <c r="B25" t="s">
        <v>202</v>
      </c>
      <c r="D25" s="6">
        <f>D24/D10</f>
        <v>0.16914124756203602</v>
      </c>
      <c r="E25" s="6">
        <f t="shared" ref="E25:L25" si="8">E24/E10</f>
        <v>0.19265925647655568</v>
      </c>
      <c r="F25" s="6">
        <f t="shared" si="8"/>
        <v>0.1294217719207531</v>
      </c>
      <c r="G25" s="6">
        <f t="shared" si="8"/>
        <v>0.12877010709259512</v>
      </c>
      <c r="H25" s="6">
        <f t="shared" si="8"/>
        <v>0.13427633678460577</v>
      </c>
      <c r="I25" s="6">
        <f t="shared" si="8"/>
        <v>0.13427633678460574</v>
      </c>
      <c r="J25" s="6">
        <f t="shared" si="8"/>
        <v>0.13427633678460574</v>
      </c>
      <c r="K25" s="6">
        <f t="shared" si="8"/>
        <v>0.13427633678460574</v>
      </c>
      <c r="L25" s="6">
        <f t="shared" si="8"/>
        <v>0.13427633678460574</v>
      </c>
    </row>
    <row r="27" spans="2:12" x14ac:dyDescent="0.3">
      <c r="B27" t="s">
        <v>13</v>
      </c>
      <c r="D27" s="1">
        <f>D10-D19</f>
        <v>3032059</v>
      </c>
      <c r="E27" s="1">
        <f>E10-E19</f>
        <v>2264532</v>
      </c>
      <c r="F27" s="1">
        <f>F10-F19</f>
        <v>5369644</v>
      </c>
      <c r="G27" s="1">
        <f>G10-G19</f>
        <v>7698455</v>
      </c>
      <c r="H27" s="1">
        <f>H10-H19</f>
        <v>6968159.0879999995</v>
      </c>
      <c r="I27" s="1">
        <f t="shared" ref="I27:L27" si="9">I10-I19</f>
        <v>7664974.9968000054</v>
      </c>
      <c r="J27" s="1">
        <f t="shared" si="9"/>
        <v>8431472.496480003</v>
      </c>
      <c r="K27" s="1">
        <f t="shared" si="9"/>
        <v>9274619.7461280078</v>
      </c>
      <c r="L27" s="1">
        <f t="shared" si="9"/>
        <v>10202081.72074081</v>
      </c>
    </row>
    <row r="29" spans="2:12" x14ac:dyDescent="0.3">
      <c r="B29" s="2" t="s">
        <v>119</v>
      </c>
      <c r="C29" s="2"/>
      <c r="E29" s="17"/>
      <c r="F29" s="17"/>
    </row>
    <row r="30" spans="2:12" x14ac:dyDescent="0.3">
      <c r="B30" t="s">
        <v>14</v>
      </c>
      <c r="D30" s="1">
        <v>31199</v>
      </c>
      <c r="E30" s="18">
        <v>24174</v>
      </c>
      <c r="F30" s="18">
        <v>14964</v>
      </c>
      <c r="G30" s="1">
        <v>102592</v>
      </c>
      <c r="H30" s="50">
        <f ca="1">'Debt Schedule'!I33</f>
        <v>77814.083803520276</v>
      </c>
      <c r="I30" s="50">
        <f ca="1">'Debt Schedule'!J33</f>
        <v>102501.36426693301</v>
      </c>
      <c r="J30" s="50">
        <f ca="1">'Debt Schedule'!K33</f>
        <v>131303.45686994243</v>
      </c>
      <c r="K30" s="50">
        <f ca="1">'Debt Schedule'!L33</f>
        <v>162865.70781846397</v>
      </c>
      <c r="L30" s="50">
        <f ca="1">'Debt Schedule'!M33</f>
        <v>197384.81372164551</v>
      </c>
    </row>
    <row r="31" spans="2:12" x14ac:dyDescent="0.3">
      <c r="B31" t="s">
        <v>15</v>
      </c>
      <c r="D31" s="1">
        <v>-595628</v>
      </c>
      <c r="E31" s="18">
        <v>-838055</v>
      </c>
      <c r="F31" s="18">
        <v>-1269784</v>
      </c>
      <c r="G31" s="1">
        <v>-1495646</v>
      </c>
      <c r="H31" s="50">
        <f>-'Debt Schedule'!I30</f>
        <v>-1323125.8800000001</v>
      </c>
      <c r="I31" s="50">
        <f>-'Debt Schedule'!J30</f>
        <v>-1323125.8800000001</v>
      </c>
      <c r="J31" s="50">
        <f>-'Debt Schedule'!K30</f>
        <v>-1323125.8800000001</v>
      </c>
      <c r="K31" s="50">
        <f>-'Debt Schedule'!L30</f>
        <v>-1323125.8800000001</v>
      </c>
      <c r="L31" s="50">
        <f>-'Debt Schedule'!M30</f>
        <v>-1323125.8800000001</v>
      </c>
    </row>
    <row r="32" spans="2:12" x14ac:dyDescent="0.3">
      <c r="B32" t="s">
        <v>16</v>
      </c>
      <c r="D32" s="1">
        <v>12853</v>
      </c>
      <c r="E32" s="18">
        <v>-6051</v>
      </c>
      <c r="F32" s="18">
        <v>-169773</v>
      </c>
      <c r="G32" s="1">
        <v>-40132</v>
      </c>
      <c r="H32" s="19">
        <v>0</v>
      </c>
      <c r="I32" s="19">
        <v>0</v>
      </c>
      <c r="J32" s="19">
        <v>0</v>
      </c>
      <c r="K32" s="19">
        <v>0</v>
      </c>
      <c r="L32" s="19">
        <v>0</v>
      </c>
    </row>
    <row r="33" spans="2:14" x14ac:dyDescent="0.3">
      <c r="B33" t="s">
        <v>17</v>
      </c>
      <c r="D33" s="1">
        <v>-41078</v>
      </c>
      <c r="E33" s="18">
        <v>3359</v>
      </c>
      <c r="F33" s="18">
        <v>-223928</v>
      </c>
      <c r="G33" s="1">
        <v>-7452</v>
      </c>
      <c r="H33" s="19">
        <v>0</v>
      </c>
      <c r="I33" s="19">
        <v>0</v>
      </c>
      <c r="J33" s="19">
        <v>0</v>
      </c>
      <c r="K33" s="19">
        <v>0</v>
      </c>
      <c r="L33" s="19">
        <v>0</v>
      </c>
      <c r="N33" t="s">
        <v>120</v>
      </c>
    </row>
    <row r="34" spans="2:14" x14ac:dyDescent="0.3">
      <c r="B34" t="s">
        <v>134</v>
      </c>
      <c r="D34" s="1">
        <v>-22545</v>
      </c>
      <c r="E34" s="18">
        <v>0</v>
      </c>
      <c r="F34" s="18">
        <v>-8202</v>
      </c>
      <c r="G34" s="1">
        <v>0</v>
      </c>
      <c r="H34" s="19">
        <v>0</v>
      </c>
      <c r="I34" s="19">
        <v>0</v>
      </c>
      <c r="J34" s="19">
        <v>0</v>
      </c>
      <c r="K34" s="19">
        <v>0</v>
      </c>
      <c r="L34" s="19">
        <v>0</v>
      </c>
      <c r="N34" t="s">
        <v>132</v>
      </c>
    </row>
    <row r="35" spans="2:14" x14ac:dyDescent="0.3">
      <c r="E35" s="17"/>
      <c r="F35" s="17"/>
      <c r="N35" t="s">
        <v>133</v>
      </c>
    </row>
    <row r="36" spans="2:14" x14ac:dyDescent="0.3">
      <c r="B36" t="s">
        <v>18</v>
      </c>
      <c r="D36" s="1">
        <f t="shared" ref="D36:L36" si="10">D27+SUM(D30:D34)</f>
        <v>2416860</v>
      </c>
      <c r="E36" s="18">
        <f t="shared" si="10"/>
        <v>1447959</v>
      </c>
      <c r="F36" s="18">
        <f t="shared" si="10"/>
        <v>3712921</v>
      </c>
      <c r="G36" s="1">
        <f t="shared" si="10"/>
        <v>6257817</v>
      </c>
      <c r="H36" s="1">
        <f t="shared" ca="1" si="10"/>
        <v>5722847.2918035202</v>
      </c>
      <c r="I36" s="1">
        <f t="shared" ca="1" si="10"/>
        <v>6444350.4810669385</v>
      </c>
      <c r="J36" s="1">
        <f t="shared" ca="1" si="10"/>
        <v>7239650.0733499452</v>
      </c>
      <c r="K36" s="1">
        <f t="shared" ca="1" si="10"/>
        <v>8114359.5739464713</v>
      </c>
      <c r="L36" s="1">
        <f t="shared" ca="1" si="10"/>
        <v>9076340.6544624548</v>
      </c>
    </row>
    <row r="37" spans="2:14" x14ac:dyDescent="0.3">
      <c r="E37" s="17"/>
      <c r="F37" s="17"/>
    </row>
    <row r="38" spans="2:14" x14ac:dyDescent="0.3">
      <c r="B38" t="s">
        <v>19</v>
      </c>
      <c r="D38" s="1">
        <v>6462</v>
      </c>
      <c r="E38" s="1">
        <v>12427</v>
      </c>
      <c r="F38">
        <v>12427</v>
      </c>
      <c r="G38">
        <v>12427</v>
      </c>
      <c r="H38" s="19">
        <v>12427</v>
      </c>
      <c r="I38" s="19">
        <v>12427</v>
      </c>
      <c r="J38" s="19">
        <v>12427</v>
      </c>
      <c r="K38" s="50">
        <f ca="1">K39*K36</f>
        <v>973723.14887357655</v>
      </c>
      <c r="L38" s="50">
        <f ca="1">L39*L36</f>
        <v>1089160.8785354944</v>
      </c>
      <c r="N38" t="s">
        <v>208</v>
      </c>
    </row>
    <row r="39" spans="2:14" x14ac:dyDescent="0.3">
      <c r="B39" t="s">
        <v>211</v>
      </c>
      <c r="D39" s="1"/>
      <c r="E39" s="1"/>
      <c r="H39" s="48" t="s">
        <v>209</v>
      </c>
      <c r="I39" s="48" t="s">
        <v>209</v>
      </c>
      <c r="J39" s="48" t="s">
        <v>210</v>
      </c>
      <c r="K39" s="49">
        <v>0.12</v>
      </c>
      <c r="L39" s="49">
        <v>0.12</v>
      </c>
      <c r="N39" t="s">
        <v>215</v>
      </c>
    </row>
    <row r="41" spans="2:14" x14ac:dyDescent="0.3">
      <c r="B41" t="s">
        <v>20</v>
      </c>
      <c r="D41" s="1">
        <f>D36-D38</f>
        <v>2410398</v>
      </c>
      <c r="E41" s="1">
        <f>E36-E38</f>
        <v>1435532</v>
      </c>
      <c r="F41" s="1">
        <f>F36-F38</f>
        <v>3700494</v>
      </c>
      <c r="G41" s="1">
        <f>G36-G38</f>
        <v>6245390</v>
      </c>
      <c r="H41" s="1">
        <f ca="1">H36-H38</f>
        <v>5710420.2918035202</v>
      </c>
      <c r="I41" s="1">
        <f t="shared" ref="I41:L41" ca="1" si="11">I36-I38</f>
        <v>6431923.4810669385</v>
      </c>
      <c r="J41" s="1">
        <f t="shared" ca="1" si="11"/>
        <v>7227223.0733499452</v>
      </c>
      <c r="K41" s="1">
        <f ca="1">K36-K38</f>
        <v>7140636.4250728944</v>
      </c>
      <c r="L41" s="1">
        <f t="shared" ca="1" si="11"/>
        <v>7987179.7759269606</v>
      </c>
    </row>
    <row r="43" spans="2:14" x14ac:dyDescent="0.3">
      <c r="B43" t="s">
        <v>22</v>
      </c>
    </row>
    <row r="44" spans="2:14" x14ac:dyDescent="0.3">
      <c r="B44" t="s">
        <v>21</v>
      </c>
      <c r="D44">
        <v>0</v>
      </c>
      <c r="E44">
        <v>480</v>
      </c>
      <c r="F44">
        <v>-208</v>
      </c>
      <c r="G44">
        <v>0</v>
      </c>
      <c r="H44">
        <v>0</v>
      </c>
      <c r="I44">
        <v>0</v>
      </c>
      <c r="J44">
        <v>0</v>
      </c>
      <c r="K44">
        <v>0</v>
      </c>
      <c r="L44">
        <v>0</v>
      </c>
      <c r="N44" t="s">
        <v>107</v>
      </c>
    </row>
    <row r="46" spans="2:14" x14ac:dyDescent="0.3">
      <c r="B46" t="s">
        <v>23</v>
      </c>
      <c r="D46" s="1">
        <f>D41+D44</f>
        <v>2410398</v>
      </c>
      <c r="E46" s="1">
        <f>E41+E44</f>
        <v>1436012</v>
      </c>
      <c r="F46" s="1">
        <f>F41+F44</f>
        <v>3700286</v>
      </c>
      <c r="G46" s="1">
        <f>G41+G44</f>
        <v>6245390</v>
      </c>
      <c r="H46" s="1">
        <f ca="1">H41+H44</f>
        <v>5710420.2918035202</v>
      </c>
      <c r="I46" s="1">
        <f t="shared" ref="I46:L46" ca="1" si="12">I41+I44</f>
        <v>6431923.4810669385</v>
      </c>
      <c r="J46" s="1">
        <f t="shared" ca="1" si="12"/>
        <v>7227223.0733499452</v>
      </c>
      <c r="K46" s="1">
        <f t="shared" ca="1" si="12"/>
        <v>7140636.4250728944</v>
      </c>
      <c r="L46" s="1">
        <f t="shared" ca="1" si="12"/>
        <v>7987179.7759269606</v>
      </c>
    </row>
    <row r="48" spans="2:14" x14ac:dyDescent="0.3">
      <c r="B48" t="s">
        <v>216</v>
      </c>
      <c r="D48" s="7" t="s">
        <v>109</v>
      </c>
      <c r="E48" s="7" t="s">
        <v>110</v>
      </c>
      <c r="F48" s="7" t="s">
        <v>111</v>
      </c>
      <c r="G48" s="7" t="s">
        <v>112</v>
      </c>
      <c r="H48" s="7" t="s">
        <v>113</v>
      </c>
      <c r="I48" s="7" t="s">
        <v>114</v>
      </c>
      <c r="J48" s="7" t="s">
        <v>115</v>
      </c>
      <c r="K48" s="7" t="s">
        <v>116</v>
      </c>
      <c r="L48" s="7" t="s">
        <v>117</v>
      </c>
    </row>
    <row r="49" spans="2:14" x14ac:dyDescent="0.3">
      <c r="B49" t="s">
        <v>217</v>
      </c>
      <c r="D49" s="11">
        <f>5186778378/1000000</f>
        <v>5186.778378</v>
      </c>
      <c r="E49" s="11">
        <f>5180191705/1000000</f>
        <v>5180.1917050000002</v>
      </c>
      <c r="F49" s="11">
        <f>5181324925/1000000</f>
        <v>5181.3249249999999</v>
      </c>
      <c r="G49" s="11">
        <f>5185494355/1000000</f>
        <v>5185.4943549999998</v>
      </c>
      <c r="H49" s="11">
        <f>G49</f>
        <v>5185.4943549999998</v>
      </c>
      <c r="I49" s="11">
        <f t="shared" ref="I49:L49" si="13">H49</f>
        <v>5185.4943549999998</v>
      </c>
      <c r="J49" s="11">
        <f t="shared" si="13"/>
        <v>5185.4943549999998</v>
      </c>
      <c r="K49" s="11">
        <f t="shared" si="13"/>
        <v>5185.4943549999998</v>
      </c>
      <c r="L49" s="11">
        <f t="shared" si="13"/>
        <v>5185.4943549999998</v>
      </c>
      <c r="N49" t="s">
        <v>220</v>
      </c>
    </row>
    <row r="50" spans="2:14" x14ac:dyDescent="0.3">
      <c r="B50" t="s">
        <v>218</v>
      </c>
      <c r="D50" s="11">
        <f>5186943827/1000000</f>
        <v>5186.9438270000001</v>
      </c>
      <c r="E50" s="11">
        <f>5181398605/1000000</f>
        <v>5181.3986050000003</v>
      </c>
      <c r="F50" s="11">
        <f>5189138935/1000000</f>
        <v>5189.1389349999999</v>
      </c>
      <c r="G50" s="11">
        <f>5193287221/1000000</f>
        <v>5193.2872209999996</v>
      </c>
      <c r="H50" s="11">
        <f>G50</f>
        <v>5193.2872209999996</v>
      </c>
      <c r="I50" s="11">
        <f t="shared" ref="I50:L50" si="14">H50</f>
        <v>5193.2872209999996</v>
      </c>
      <c r="J50" s="11">
        <f t="shared" si="14"/>
        <v>5193.2872209999996</v>
      </c>
      <c r="K50" s="11">
        <f t="shared" si="14"/>
        <v>5193.2872209999996</v>
      </c>
      <c r="L50" s="11">
        <f t="shared" si="14"/>
        <v>5193.2872209999996</v>
      </c>
      <c r="N50" t="s">
        <v>222</v>
      </c>
    </row>
    <row r="51" spans="2:14" x14ac:dyDescent="0.3">
      <c r="B51" t="s">
        <v>219</v>
      </c>
      <c r="N51" t="s">
        <v>223</v>
      </c>
    </row>
  </sheetData>
  <mergeCells count="2">
    <mergeCell ref="H2:L2"/>
    <mergeCell ref="D2:G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89A03-F339-412F-B4A7-DA6A9BBE4BF3}">
  <dimension ref="B2:O54"/>
  <sheetViews>
    <sheetView topLeftCell="A19" zoomScale="85" zoomScaleNormal="85" workbookViewId="0">
      <selection activeCell="D3" sqref="D3:L3"/>
    </sheetView>
  </sheetViews>
  <sheetFormatPr defaultRowHeight="14.4" x14ac:dyDescent="0.3"/>
  <cols>
    <col min="2" max="2" width="46.44140625" bestFit="1" customWidth="1"/>
    <col min="3" max="3" width="12.44140625" customWidth="1"/>
    <col min="4" max="7" width="10" bestFit="1" customWidth="1"/>
    <col min="8" max="8" width="13.88671875" bestFit="1" customWidth="1"/>
    <col min="9" max="10" width="11.33203125" bestFit="1" customWidth="1"/>
    <col min="11" max="12" width="13.21875" bestFit="1" customWidth="1"/>
    <col min="14" max="14" width="8.88671875" hidden="1" customWidth="1"/>
    <col min="15" max="15" width="0" hidden="1" customWidth="1"/>
  </cols>
  <sheetData>
    <row r="2" spans="2:14" x14ac:dyDescent="0.3">
      <c r="D2" s="180" t="s">
        <v>332</v>
      </c>
      <c r="E2" s="180"/>
      <c r="F2" s="180"/>
      <c r="G2" s="180"/>
      <c r="H2" s="178" t="s">
        <v>333</v>
      </c>
      <c r="I2" s="178"/>
      <c r="J2" s="178"/>
      <c r="K2" s="178"/>
      <c r="L2" s="179"/>
    </row>
    <row r="3" spans="2:14" ht="15" thickBot="1" x14ac:dyDescent="0.35">
      <c r="B3" s="134" t="s">
        <v>331</v>
      </c>
      <c r="C3" s="58"/>
      <c r="D3" s="136" t="s">
        <v>109</v>
      </c>
      <c r="E3" s="136" t="s">
        <v>110</v>
      </c>
      <c r="F3" s="136" t="s">
        <v>111</v>
      </c>
      <c r="G3" s="136" t="s">
        <v>112</v>
      </c>
      <c r="H3" s="136" t="s">
        <v>113</v>
      </c>
      <c r="I3" s="136" t="s">
        <v>114</v>
      </c>
      <c r="J3" s="136" t="s">
        <v>115</v>
      </c>
      <c r="K3" s="136" t="s">
        <v>116</v>
      </c>
      <c r="L3" s="136" t="s">
        <v>117</v>
      </c>
      <c r="M3" s="7"/>
      <c r="N3" t="s">
        <v>106</v>
      </c>
    </row>
    <row r="5" spans="2:14" x14ac:dyDescent="0.3">
      <c r="B5" s="2" t="s">
        <v>31</v>
      </c>
      <c r="C5" s="2"/>
      <c r="D5" s="2"/>
      <c r="E5" s="2"/>
    </row>
    <row r="6" spans="2:14" x14ac:dyDescent="0.3">
      <c r="B6" t="s">
        <v>32</v>
      </c>
      <c r="D6" s="1">
        <v>31071898</v>
      </c>
      <c r="E6" s="1">
        <v>35858056</v>
      </c>
      <c r="F6" s="1">
        <v>33504269</v>
      </c>
      <c r="G6" s="1">
        <v>31943188</v>
      </c>
      <c r="H6" s="18">
        <f>G6-'Cash Flow Statement'!H29-'Cash Flow Statement'!H7+'Cash Flow Statement'!H31</f>
        <v>30956732.572000001</v>
      </c>
      <c r="I6" s="18">
        <f>H6-'Cash Flow Statement'!I29-'Cash Flow Statement'!I7+'Cash Flow Statement'!I31</f>
        <v>30009930.972242843</v>
      </c>
      <c r="J6" s="18">
        <f>I6-'Cash Flow Statement'!J29-'Cash Flow Statement'!J7+'Cash Flow Statement'!J31</f>
        <v>29106748.583552811</v>
      </c>
      <c r="K6" s="18">
        <f>J6-'Cash Flow Statement'!K29-'Cash Flow Statement'!K7+'Cash Flow Statement'!K31</f>
        <v>28251547.327036619</v>
      </c>
      <c r="L6" s="18">
        <f>K6-'Cash Flow Statement'!L29-'Cash Flow Statement'!L7+'Cash Flow Statement'!L31</f>
        <v>27449125.315911651</v>
      </c>
    </row>
    <row r="7" spans="2:14" x14ac:dyDescent="0.3">
      <c r="B7" t="s">
        <v>33</v>
      </c>
      <c r="D7" s="1">
        <v>1878794</v>
      </c>
      <c r="E7" s="1">
        <v>1782623</v>
      </c>
      <c r="F7" s="1">
        <v>1686452</v>
      </c>
      <c r="G7" s="1">
        <v>1590281</v>
      </c>
      <c r="H7" s="18">
        <f>G7-'Cash Flow Statement'!H8</f>
        <v>1494951</v>
      </c>
      <c r="I7" s="18">
        <f>H7-'Cash Flow Statement'!I8</f>
        <v>1399621</v>
      </c>
      <c r="J7" s="18">
        <f>I7-'Cash Flow Statement'!J8</f>
        <v>1304291</v>
      </c>
      <c r="K7" s="18">
        <f>J7-'Cash Flow Statement'!K8</f>
        <v>1208961</v>
      </c>
      <c r="L7" s="18">
        <f>K7-'Cash Flow Statement'!L8</f>
        <v>1113631</v>
      </c>
      <c r="N7" t="s">
        <v>130</v>
      </c>
    </row>
    <row r="8" spans="2:14" x14ac:dyDescent="0.3">
      <c r="B8" t="s">
        <v>34</v>
      </c>
      <c r="D8" s="1">
        <v>398345</v>
      </c>
      <c r="E8" s="1">
        <v>398345</v>
      </c>
      <c r="F8" s="1">
        <v>398345</v>
      </c>
      <c r="G8" s="1">
        <v>398345</v>
      </c>
      <c r="H8" s="74">
        <f>G8+'Cash Flow Statement'!H33</f>
        <v>398345</v>
      </c>
      <c r="I8" s="74">
        <f>H8+'Cash Flow Statement'!I33</f>
        <v>398345</v>
      </c>
      <c r="J8" s="74">
        <f>I8+'Cash Flow Statement'!J33</f>
        <v>398345</v>
      </c>
      <c r="K8" s="74">
        <f>J8+'Cash Flow Statement'!K33</f>
        <v>398345</v>
      </c>
      <c r="L8" s="74">
        <f>K8+'Cash Flow Statement'!L33</f>
        <v>398345</v>
      </c>
      <c r="N8" t="s">
        <v>147</v>
      </c>
    </row>
    <row r="9" spans="2:14" x14ac:dyDescent="0.3">
      <c r="B9" t="s">
        <v>35</v>
      </c>
      <c r="D9" s="1">
        <v>308579</v>
      </c>
      <c r="E9" s="1">
        <v>18342</v>
      </c>
      <c r="F9" s="1">
        <v>35092</v>
      </c>
      <c r="G9" s="1">
        <v>51426</v>
      </c>
      <c r="H9" s="18">
        <f>G9+'Cash Flow Statement'!H34</f>
        <v>51426</v>
      </c>
      <c r="I9" s="18">
        <f>H9+'Cash Flow Statement'!I34</f>
        <v>51426</v>
      </c>
      <c r="J9" s="18">
        <f>I9+'Cash Flow Statement'!J34</f>
        <v>51426</v>
      </c>
      <c r="K9" s="18">
        <f>J9+'Cash Flow Statement'!K34</f>
        <v>51426</v>
      </c>
      <c r="L9" s="18">
        <f>K9+'Cash Flow Statement'!L34</f>
        <v>51426</v>
      </c>
      <c r="N9" t="s">
        <v>131</v>
      </c>
    </row>
    <row r="10" spans="2:14" x14ac:dyDescent="0.3">
      <c r="B10" t="s">
        <v>100</v>
      </c>
      <c r="D10" s="1">
        <v>5631</v>
      </c>
      <c r="E10" s="1">
        <v>0</v>
      </c>
      <c r="F10" s="1">
        <v>0</v>
      </c>
      <c r="G10" s="1">
        <v>0</v>
      </c>
      <c r="H10" s="74">
        <f>G10+'Cash Flow Statement'!H12/2</f>
        <v>0</v>
      </c>
      <c r="I10" s="74">
        <f>H10+'Cash Flow Statement'!I12/2</f>
        <v>0</v>
      </c>
      <c r="J10" s="74">
        <f>I10+'Cash Flow Statement'!J12/2</f>
        <v>0</v>
      </c>
      <c r="K10" s="74">
        <f>J10+'Cash Flow Statement'!K12/2</f>
        <v>0</v>
      </c>
      <c r="L10" s="74">
        <f>K10+'Cash Flow Statement'!L12/2</f>
        <v>0</v>
      </c>
    </row>
    <row r="11" spans="2:14" x14ac:dyDescent="0.3">
      <c r="B11" s="16" t="s">
        <v>36</v>
      </c>
      <c r="C11" s="16"/>
      <c r="D11" s="1">
        <v>576658</v>
      </c>
      <c r="E11" s="1">
        <v>910186</v>
      </c>
      <c r="F11" s="1">
        <v>791819</v>
      </c>
      <c r="G11" s="1">
        <v>686582</v>
      </c>
      <c r="H11" s="47">
        <f>G11+'Cash Flow Statement'!H24</f>
        <v>686582</v>
      </c>
      <c r="I11" s="47">
        <f>H11+'Cash Flow Statement'!I24</f>
        <v>686582</v>
      </c>
      <c r="J11" s="47">
        <f>I11+'Cash Flow Statement'!J24</f>
        <v>686582</v>
      </c>
      <c r="K11" s="47">
        <f>J11+'Cash Flow Statement'!K24</f>
        <v>686582</v>
      </c>
      <c r="L11" s="47">
        <f>K11+'Cash Flow Statement'!L24</f>
        <v>686582</v>
      </c>
      <c r="N11" t="s">
        <v>150</v>
      </c>
    </row>
    <row r="12" spans="2:14" x14ac:dyDescent="0.3">
      <c r="B12" t="s">
        <v>29</v>
      </c>
      <c r="D12" s="1">
        <v>13973</v>
      </c>
      <c r="E12" s="1">
        <v>9842</v>
      </c>
      <c r="F12" s="1">
        <v>6032</v>
      </c>
      <c r="G12" s="1">
        <v>11322</v>
      </c>
      <c r="H12" s="17">
        <f>G12+'Cash Flow Statement'!H40/2</f>
        <v>11322</v>
      </c>
      <c r="I12" s="17">
        <f>H12+'Cash Flow Statement'!I40/2</f>
        <v>11322</v>
      </c>
      <c r="J12" s="17">
        <f>I12+'Cash Flow Statement'!J40/2</f>
        <v>11322</v>
      </c>
      <c r="K12" s="17">
        <f>J12+'Cash Flow Statement'!K40/2</f>
        <v>11322</v>
      </c>
      <c r="L12" s="17">
        <f>K12+'Cash Flow Statement'!L40/2</f>
        <v>11322</v>
      </c>
      <c r="N12" t="s">
        <v>146</v>
      </c>
    </row>
    <row r="13" spans="2:14" x14ac:dyDescent="0.3">
      <c r="B13" s="2" t="s">
        <v>45</v>
      </c>
      <c r="C13" s="2"/>
      <c r="D13" s="1">
        <f>SUM(D6:D12)</f>
        <v>34253878</v>
      </c>
      <c r="E13" s="1">
        <f>SUM(E6:E12)</f>
        <v>38977394</v>
      </c>
      <c r="F13" s="1">
        <f>SUM(F6:F12)</f>
        <v>36422009</v>
      </c>
      <c r="G13" s="1">
        <f>SUM(G6:G12)</f>
        <v>34681144</v>
      </c>
      <c r="H13" s="18">
        <f>SUM(H6:H12)</f>
        <v>33599358.571999997</v>
      </c>
      <c r="I13" s="18">
        <f t="shared" ref="I13:K13" si="0">SUM(I6:I12)</f>
        <v>32557226.972242843</v>
      </c>
      <c r="J13" s="18">
        <f t="shared" si="0"/>
        <v>31558714.583552811</v>
      </c>
      <c r="K13" s="18">
        <f t="shared" si="0"/>
        <v>30608183.327036619</v>
      </c>
      <c r="L13" s="18">
        <f>SUM(L6:L12)</f>
        <v>29710431.315911651</v>
      </c>
    </row>
    <row r="14" spans="2:14" x14ac:dyDescent="0.3">
      <c r="E14" s="1"/>
      <c r="F14" s="1"/>
      <c r="G14" s="1"/>
      <c r="H14" s="17"/>
      <c r="I14" s="17"/>
      <c r="J14" s="17"/>
      <c r="K14" s="17"/>
      <c r="L14" s="17"/>
    </row>
    <row r="15" spans="2:14" x14ac:dyDescent="0.3">
      <c r="B15" s="2" t="s">
        <v>24</v>
      </c>
      <c r="C15" s="2"/>
      <c r="D15" s="2"/>
      <c r="E15" s="2"/>
      <c r="H15" s="17"/>
      <c r="I15" s="17"/>
      <c r="J15" s="17"/>
      <c r="K15" s="17"/>
      <c r="L15" s="17"/>
    </row>
    <row r="16" spans="2:14" x14ac:dyDescent="0.3">
      <c r="B16" t="s">
        <v>25</v>
      </c>
      <c r="D16" s="1">
        <v>179825</v>
      </c>
      <c r="E16" s="1">
        <v>338023</v>
      </c>
      <c r="F16" s="1">
        <v>331644</v>
      </c>
      <c r="G16" s="1">
        <v>312625</v>
      </c>
      <c r="H16" s="18">
        <f>G16-'Cash Flow Statement'!H18</f>
        <v>341125.63204598933</v>
      </c>
      <c r="I16" s="18">
        <f>H16-'Cash Flow Statement'!I18</f>
        <v>375238.19525058835</v>
      </c>
      <c r="J16" s="18">
        <f>I16-'Cash Flow Statement'!J18</f>
        <v>412762.01477564714</v>
      </c>
      <c r="K16" s="18">
        <f>J16-'Cash Flow Statement'!K18</f>
        <v>454038.21625321184</v>
      </c>
      <c r="L16" s="18">
        <f>K16-'Cash Flow Statement'!L18</f>
        <v>499442.03787853313</v>
      </c>
      <c r="N16" s="17" t="s">
        <v>263</v>
      </c>
    </row>
    <row r="17" spans="2:15" x14ac:dyDescent="0.3">
      <c r="B17" t="s">
        <v>26</v>
      </c>
      <c r="D17" s="1">
        <v>457728</v>
      </c>
      <c r="E17" s="1">
        <v>733001</v>
      </c>
      <c r="F17" s="1">
        <v>676669</v>
      </c>
      <c r="G17" s="1">
        <v>1135474</v>
      </c>
      <c r="H17" s="73">
        <f>G17-'Cash Flow Statement'!H19</f>
        <v>1023978.6762522287</v>
      </c>
      <c r="I17" s="73">
        <f>H17-'Cash Flow Statement'!I19</f>
        <v>1126376.5438774517</v>
      </c>
      <c r="J17" s="73">
        <f>I17-'Cash Flow Statement'!J19</f>
        <v>1239014.198265197</v>
      </c>
      <c r="K17" s="73">
        <f>J17-'Cash Flow Statement'!K19</f>
        <v>1362915.6180917167</v>
      </c>
      <c r="L17" s="73">
        <f>K17-'Cash Flow Statement'!L19</f>
        <v>1499207.1799008886</v>
      </c>
    </row>
    <row r="18" spans="2:15" x14ac:dyDescent="0.3">
      <c r="B18" t="s">
        <v>27</v>
      </c>
      <c r="D18" s="1">
        <v>98673</v>
      </c>
      <c r="E18" s="1">
        <v>128596</v>
      </c>
      <c r="F18" s="1">
        <v>133787</v>
      </c>
      <c r="G18" s="1">
        <v>136462</v>
      </c>
      <c r="H18" s="73">
        <f>G18-'Cash Flow Statement'!H20</f>
        <v>161797.65198142309</v>
      </c>
      <c r="I18" s="73">
        <f>H18-'Cash Flow Statement'!I20</f>
        <v>177977.41717956541</v>
      </c>
      <c r="J18" s="73">
        <f>I18-'Cash Flow Statement'!J20</f>
        <v>195775.15889752196</v>
      </c>
      <c r="K18" s="73">
        <f>J18-'Cash Flow Statement'!K20</f>
        <v>215352.67478727415</v>
      </c>
      <c r="L18" s="73">
        <f>K18-'Cash Flow Statement'!L20</f>
        <v>236887.94226600163</v>
      </c>
    </row>
    <row r="19" spans="2:15" x14ac:dyDescent="0.3">
      <c r="B19" t="s">
        <v>100</v>
      </c>
      <c r="D19">
        <v>0</v>
      </c>
      <c r="E19" s="1">
        <v>8189</v>
      </c>
      <c r="F19" s="1">
        <v>0</v>
      </c>
      <c r="G19" s="1">
        <v>0</v>
      </c>
      <c r="H19" s="74">
        <f>G19+'Cash Flow Statement'!H12/2</f>
        <v>0</v>
      </c>
      <c r="I19" s="74">
        <f>'Cash Flow Statement'!I12/2</f>
        <v>0</v>
      </c>
      <c r="J19" s="74">
        <f>'Cash Flow Statement'!J12/2</f>
        <v>0</v>
      </c>
      <c r="K19" s="74">
        <f>'Cash Flow Statement'!K12/2</f>
        <v>0</v>
      </c>
      <c r="L19" s="74">
        <f>'Cash Flow Statement'!L12/2</f>
        <v>0</v>
      </c>
    </row>
    <row r="20" spans="2:15" x14ac:dyDescent="0.3">
      <c r="B20" t="s">
        <v>28</v>
      </c>
      <c r="D20" s="1">
        <v>560052</v>
      </c>
      <c r="E20" s="1">
        <v>156561</v>
      </c>
      <c r="F20" s="1">
        <v>181086</v>
      </c>
      <c r="G20" s="1">
        <v>282918</v>
      </c>
      <c r="H20" s="18">
        <f>G20</f>
        <v>282918</v>
      </c>
      <c r="I20" s="18">
        <f t="shared" ref="I20:L20" si="1">H20</f>
        <v>282918</v>
      </c>
      <c r="J20" s="18">
        <f t="shared" si="1"/>
        <v>282918</v>
      </c>
      <c r="K20" s="18">
        <f t="shared" si="1"/>
        <v>282918</v>
      </c>
      <c r="L20" s="18">
        <f t="shared" si="1"/>
        <v>282918</v>
      </c>
      <c r="N20" s="75" t="s">
        <v>267</v>
      </c>
    </row>
    <row r="21" spans="2:15" x14ac:dyDescent="0.3">
      <c r="B21" t="s">
        <v>29</v>
      </c>
      <c r="D21" s="1">
        <v>1995</v>
      </c>
      <c r="E21" s="1">
        <v>12267</v>
      </c>
      <c r="F21" s="1">
        <v>10854</v>
      </c>
      <c r="G21" s="1">
        <v>6745</v>
      </c>
      <c r="H21" s="17">
        <f>G21+'Cash Flow Statement'!H40/2</f>
        <v>6745</v>
      </c>
      <c r="I21" s="17">
        <f>H21+'Cash Flow Statement'!I40/2</f>
        <v>6745</v>
      </c>
      <c r="J21" s="17">
        <f>I21+'Cash Flow Statement'!J40/2</f>
        <v>6745</v>
      </c>
      <c r="K21" s="17">
        <f>J21+'Cash Flow Statement'!K40/2</f>
        <v>6745</v>
      </c>
      <c r="L21" s="17">
        <f>K21+'Cash Flow Statement'!L40/2</f>
        <v>6745</v>
      </c>
      <c r="N21" t="s">
        <v>126</v>
      </c>
    </row>
    <row r="22" spans="2:15" x14ac:dyDescent="0.3">
      <c r="B22" t="s">
        <v>30</v>
      </c>
      <c r="D22" s="1">
        <v>6731356</v>
      </c>
      <c r="E22" s="1">
        <v>2591442</v>
      </c>
      <c r="F22" s="1">
        <v>5239690</v>
      </c>
      <c r="G22" s="1">
        <v>9526423</v>
      </c>
      <c r="H22" s="18">
        <f ca="1">'Cash Flow Statement'!H58</f>
        <v>12706172.372434363</v>
      </c>
      <c r="I22" s="18">
        <f ca="1">'Cash Flow Statement'!I58</f>
        <v>16579931.703832213</v>
      </c>
      <c r="J22" s="18">
        <f ca="1">'Cash Flow Statement'!J58</f>
        <v>20935341.687579911</v>
      </c>
      <c r="K22" s="18">
        <f ca="1">'Cash Flow Statement'!K58</f>
        <v>25597717.689124085</v>
      </c>
      <c r="L22" s="18">
        <f ca="1">'Cash Flow Statement'!L58</f>
        <v>30797943.374203201</v>
      </c>
      <c r="N22" s="10" t="s">
        <v>266</v>
      </c>
    </row>
    <row r="23" spans="2:15" x14ac:dyDescent="0.3">
      <c r="B23" s="2" t="s">
        <v>44</v>
      </c>
      <c r="C23" s="2"/>
      <c r="D23" s="1">
        <f>SUM(D16:D22)</f>
        <v>8029629</v>
      </c>
      <c r="E23" s="1">
        <f>SUM(E16:E22)</f>
        <v>3968079</v>
      </c>
      <c r="F23" s="1">
        <f>SUM(F16:F22)</f>
        <v>6573730</v>
      </c>
      <c r="G23" s="1">
        <f>SUM(G16:G22)</f>
        <v>11400647</v>
      </c>
      <c r="H23" s="18">
        <f ca="1">SUM(H16:H22)</f>
        <v>14522737.332714004</v>
      </c>
      <c r="I23" s="18">
        <f t="shared" ref="I23:K23" ca="1" si="2">SUM(I16:I22)</f>
        <v>18549186.860139817</v>
      </c>
      <c r="J23" s="18">
        <f t="shared" ca="1" si="2"/>
        <v>23072556.059518278</v>
      </c>
      <c r="K23" s="18">
        <f t="shared" ca="1" si="2"/>
        <v>27919687.198256288</v>
      </c>
      <c r="L23" s="18">
        <f ca="1">SUM(L16:L22)</f>
        <v>33323143.534248624</v>
      </c>
    </row>
    <row r="24" spans="2:15" x14ac:dyDescent="0.3">
      <c r="H24" s="17"/>
      <c r="I24" s="17"/>
      <c r="J24" s="17"/>
      <c r="K24" s="17"/>
      <c r="L24" s="17"/>
    </row>
    <row r="25" spans="2:15" x14ac:dyDescent="0.3">
      <c r="B25" s="2" t="s">
        <v>37</v>
      </c>
      <c r="C25" s="2"/>
      <c r="D25" s="2"/>
      <c r="E25" s="2"/>
      <c r="H25" s="17"/>
      <c r="I25" s="17"/>
      <c r="J25" s="17"/>
      <c r="K25" s="17"/>
      <c r="L25" s="17"/>
    </row>
    <row r="26" spans="2:15" x14ac:dyDescent="0.3">
      <c r="B26" t="s">
        <v>38</v>
      </c>
      <c r="D26" s="1">
        <v>345594</v>
      </c>
      <c r="E26" s="1">
        <v>525501</v>
      </c>
      <c r="F26" s="1">
        <v>681147</v>
      </c>
      <c r="G26" s="1">
        <v>766905</v>
      </c>
      <c r="H26" s="47">
        <f>G26+'Cash Flow Statement'!H21</f>
        <v>815762.19236545276</v>
      </c>
      <c r="I26" s="47">
        <f>H26+'Cash Flow Statement'!I21</f>
        <v>897338.41160199803</v>
      </c>
      <c r="J26" s="47">
        <f>I26+'Cash Flow Statement'!J21</f>
        <v>987072.25276219798</v>
      </c>
      <c r="K26" s="47">
        <f>J26+'Cash Flow Statement'!K21</f>
        <v>1085779.4780384179</v>
      </c>
      <c r="L26" s="47">
        <f>K26+'Cash Flow Statement'!L21</f>
        <v>1194357.4258422595</v>
      </c>
    </row>
    <row r="27" spans="2:15" x14ac:dyDescent="0.3">
      <c r="B27" t="s">
        <v>39</v>
      </c>
      <c r="D27">
        <v>0</v>
      </c>
      <c r="E27">
        <v>0</v>
      </c>
      <c r="F27" s="1">
        <v>449259</v>
      </c>
      <c r="G27">
        <v>0</v>
      </c>
      <c r="H27" s="17">
        <f>G27+'Cash Flow Statement'!H43/2</f>
        <v>0</v>
      </c>
      <c r="I27" s="17">
        <f>H27+'Cash Flow Statement'!I43/2</f>
        <v>0</v>
      </c>
      <c r="J27" s="17">
        <f>I27+'Cash Flow Statement'!J43/2</f>
        <v>0</v>
      </c>
      <c r="K27" s="17">
        <f>J27+'Cash Flow Statement'!K43/2</f>
        <v>0</v>
      </c>
      <c r="L27" s="17">
        <f>K27+'Cash Flow Statement'!L43/2</f>
        <v>0</v>
      </c>
      <c r="N27" t="s">
        <v>127</v>
      </c>
    </row>
    <row r="28" spans="2:15" x14ac:dyDescent="0.3">
      <c r="B28" t="s">
        <v>57</v>
      </c>
      <c r="D28" s="1">
        <v>1258868</v>
      </c>
      <c r="E28" s="1">
        <v>1167082</v>
      </c>
      <c r="F28" s="1">
        <v>456299</v>
      </c>
      <c r="G28" s="1">
        <v>393424</v>
      </c>
      <c r="H28" s="46">
        <f>G28+'Cash Flow Statement'!H22/2</f>
        <v>1054406.3128028288</v>
      </c>
      <c r="I28" s="46">
        <f>H28+'Cash Flow Statement'!I22/2</f>
        <v>1625369.2440831121</v>
      </c>
      <c r="J28" s="46">
        <f>I28+'Cash Flow Statement'!J22/2</f>
        <v>2253428.4684914239</v>
      </c>
      <c r="K28" s="46">
        <f>J28+'Cash Flow Statement'!K22/2</f>
        <v>2944293.6153405681</v>
      </c>
      <c r="L28" s="46">
        <f>K28+'Cash Flow Statement'!L22/2</f>
        <v>3704245.2768746251</v>
      </c>
      <c r="N28" t="s">
        <v>58</v>
      </c>
    </row>
    <row r="29" spans="2:15" x14ac:dyDescent="0.3">
      <c r="B29" t="s">
        <v>101</v>
      </c>
      <c r="D29" s="1">
        <v>124015</v>
      </c>
      <c r="E29" s="1">
        <v>0</v>
      </c>
      <c r="F29" s="1">
        <v>0</v>
      </c>
      <c r="G29" s="1">
        <v>0</v>
      </c>
      <c r="H29" s="18">
        <f>G29+'Cash Flow Statement'!H46</f>
        <v>0</v>
      </c>
      <c r="I29" s="18">
        <f>H29+'Cash Flow Statement'!I46</f>
        <v>0</v>
      </c>
      <c r="J29" s="18">
        <f>I29+'Cash Flow Statement'!J46</f>
        <v>0</v>
      </c>
      <c r="K29" s="18">
        <f>J29+'Cash Flow Statement'!K46</f>
        <v>0</v>
      </c>
      <c r="L29" s="18">
        <f>K29+'Cash Flow Statement'!L46</f>
        <v>0</v>
      </c>
    </row>
    <row r="30" spans="2:15" x14ac:dyDescent="0.3">
      <c r="B30" t="s">
        <v>40</v>
      </c>
      <c r="D30" s="1">
        <v>4003064</v>
      </c>
      <c r="E30" s="1">
        <v>5866015</v>
      </c>
      <c r="F30" s="1">
        <v>9969074</v>
      </c>
      <c r="G30" s="1">
        <v>9703870</v>
      </c>
      <c r="H30" s="46">
        <f>G30+'Cash Flow Statement'!H22/2</f>
        <v>10364852.312802829</v>
      </c>
      <c r="I30" s="46">
        <f>H30+'Cash Flow Statement'!I22/2</f>
        <v>10935815.244083112</v>
      </c>
      <c r="J30" s="46">
        <f>I30+'Cash Flow Statement'!J22/2</f>
        <v>11563874.468491424</v>
      </c>
      <c r="K30" s="46">
        <f>J30+'Cash Flow Statement'!K22/2</f>
        <v>12254739.615340568</v>
      </c>
      <c r="L30" s="46">
        <f>K30+'Cash Flow Statement'!L22/2</f>
        <v>13014691.276874624</v>
      </c>
      <c r="N30" t="s">
        <v>124</v>
      </c>
    </row>
    <row r="31" spans="2:15" x14ac:dyDescent="0.3">
      <c r="B31" s="17" t="s">
        <v>41</v>
      </c>
      <c r="C31" s="17"/>
      <c r="D31" s="18">
        <v>128920</v>
      </c>
      <c r="E31" s="1">
        <v>202298</v>
      </c>
      <c r="F31" s="1">
        <v>261601</v>
      </c>
      <c r="G31" s="1">
        <v>160196</v>
      </c>
      <c r="H31" s="47">
        <f>G31+'Cash Flow Statement'!H23</f>
        <v>264408.25570529571</v>
      </c>
      <c r="I31" s="47">
        <f>H31+'Cash Flow Statement'!I23</f>
        <v>290849.08127582533</v>
      </c>
      <c r="J31" s="47">
        <f>I31+'Cash Flow Statement'!J23</f>
        <v>319933.98940340785</v>
      </c>
      <c r="K31" s="47">
        <f>J31+'Cash Flow Statement'!K23</f>
        <v>351927.38834374869</v>
      </c>
      <c r="L31" s="47">
        <f>K31+'Cash Flow Statement'!L23</f>
        <v>387120.12717812357</v>
      </c>
    </row>
    <row r="32" spans="2:15" x14ac:dyDescent="0.3">
      <c r="B32" s="19" t="s">
        <v>42</v>
      </c>
      <c r="C32" s="19"/>
      <c r="D32" s="18">
        <v>15049</v>
      </c>
      <c r="E32" s="1">
        <v>12427</v>
      </c>
      <c r="F32" s="1">
        <v>12427</v>
      </c>
      <c r="G32" s="1">
        <v>12427</v>
      </c>
      <c r="H32" s="18">
        <f>G32</f>
        <v>12427</v>
      </c>
      <c r="I32" s="18">
        <f t="shared" ref="I32:L32" si="3">H32</f>
        <v>12427</v>
      </c>
      <c r="J32" s="18">
        <f t="shared" si="3"/>
        <v>12427</v>
      </c>
      <c r="K32" s="18">
        <f t="shared" si="3"/>
        <v>12427</v>
      </c>
      <c r="L32" s="18">
        <f t="shared" si="3"/>
        <v>12427</v>
      </c>
      <c r="N32" t="s">
        <v>278</v>
      </c>
      <c r="O32" s="75" t="s">
        <v>267</v>
      </c>
    </row>
    <row r="33" spans="2:15" x14ac:dyDescent="0.3">
      <c r="B33" s="16" t="s">
        <v>43</v>
      </c>
      <c r="C33" s="16"/>
      <c r="D33" s="1">
        <v>33277</v>
      </c>
      <c r="E33" s="1">
        <v>55763</v>
      </c>
      <c r="F33" s="1">
        <v>46492</v>
      </c>
      <c r="G33" s="1">
        <v>28109</v>
      </c>
      <c r="H33" s="18">
        <f>G33+'Cash Flow Statement'!H51</f>
        <v>28109</v>
      </c>
      <c r="I33" s="18">
        <f>H33+'Cash Flow Statement'!I51</f>
        <v>28109</v>
      </c>
      <c r="J33" s="18">
        <f>I33+'Cash Flow Statement'!J51</f>
        <v>28109</v>
      </c>
      <c r="K33" s="18">
        <f>J33+'Cash Flow Statement'!K51</f>
        <v>28109</v>
      </c>
      <c r="L33" s="18">
        <f>K33+'Cash Flow Statement'!L51</f>
        <v>28109</v>
      </c>
      <c r="N33" t="s">
        <v>233</v>
      </c>
    </row>
    <row r="34" spans="2:15" x14ac:dyDescent="0.3">
      <c r="B34" s="2" t="s">
        <v>50</v>
      </c>
      <c r="C34" s="2"/>
      <c r="D34" s="1">
        <f>SUM(D26:D33)</f>
        <v>5908787</v>
      </c>
      <c r="E34" s="1">
        <f>SUM(E26:E33)</f>
        <v>7829086</v>
      </c>
      <c r="F34" s="1">
        <f>SUM(F26:F33)</f>
        <v>11876299</v>
      </c>
      <c r="G34" s="1">
        <f>SUM(G26:G33)</f>
        <v>11064931</v>
      </c>
      <c r="H34" s="18">
        <f>SUM(H26:H33)</f>
        <v>12539965.073676405</v>
      </c>
      <c r="I34" s="18">
        <f t="shared" ref="I34:K34" si="4">SUM(I26:I33)</f>
        <v>13789907.981044047</v>
      </c>
      <c r="J34" s="18">
        <f t="shared" si="4"/>
        <v>15164845.179148454</v>
      </c>
      <c r="K34" s="18">
        <f t="shared" si="4"/>
        <v>16677276.097063305</v>
      </c>
      <c r="L34" s="18">
        <f>SUM(L26:L33)</f>
        <v>18340950.106769636</v>
      </c>
    </row>
    <row r="35" spans="2:15" x14ac:dyDescent="0.3">
      <c r="B35" s="2"/>
      <c r="C35" s="2"/>
      <c r="D35" s="1"/>
      <c r="E35" s="1"/>
      <c r="F35" s="1"/>
      <c r="G35" s="1"/>
      <c r="H35" s="18"/>
      <c r="I35" s="18"/>
      <c r="J35" s="18"/>
      <c r="K35" s="18"/>
      <c r="L35" s="18"/>
    </row>
    <row r="36" spans="2:15" x14ac:dyDescent="0.3">
      <c r="B36" s="2" t="s">
        <v>47</v>
      </c>
      <c r="C36" s="2"/>
      <c r="H36" s="17"/>
      <c r="I36" s="17"/>
      <c r="J36" s="17"/>
      <c r="K36" s="17"/>
      <c r="L36" s="17"/>
      <c r="N36" t="s">
        <v>128</v>
      </c>
    </row>
    <row r="37" spans="2:15" x14ac:dyDescent="0.3">
      <c r="B37" t="s">
        <v>39</v>
      </c>
      <c r="D37" s="1">
        <v>31317919</v>
      </c>
      <c r="E37" s="1">
        <v>32169888</v>
      </c>
      <c r="F37" s="1">
        <v>27674046</v>
      </c>
      <c r="G37" s="1">
        <v>33078147</v>
      </c>
      <c r="H37" s="17">
        <f>G37+'Cash Flow Statement'!H43/2</f>
        <v>33078147</v>
      </c>
      <c r="I37" s="17">
        <f>H37+'Cash Flow Statement'!I43/2</f>
        <v>33078147</v>
      </c>
      <c r="J37" s="17">
        <f>I37+'Cash Flow Statement'!J43/2</f>
        <v>33078147</v>
      </c>
      <c r="K37" s="17">
        <f>J37+'Cash Flow Statement'!K43/2</f>
        <v>33078147</v>
      </c>
      <c r="L37" s="17">
        <f>K37+'Cash Flow Statement'!L43/2</f>
        <v>33078147</v>
      </c>
      <c r="N37" t="s">
        <v>129</v>
      </c>
    </row>
    <row r="38" spans="2:15" x14ac:dyDescent="0.3">
      <c r="B38" t="s">
        <v>48</v>
      </c>
      <c r="D38" s="1">
        <v>399986</v>
      </c>
      <c r="E38" s="1">
        <v>1244</v>
      </c>
      <c r="F38" s="1">
        <v>1862</v>
      </c>
      <c r="G38" s="1">
        <v>1293</v>
      </c>
      <c r="H38" s="18">
        <f>G38</f>
        <v>1293</v>
      </c>
      <c r="I38" s="18">
        <f t="shared" ref="I38:L38" si="5">H38</f>
        <v>1293</v>
      </c>
      <c r="J38" s="18">
        <f t="shared" si="5"/>
        <v>1293</v>
      </c>
      <c r="K38" s="18">
        <f t="shared" si="5"/>
        <v>1293</v>
      </c>
      <c r="L38" s="18">
        <f t="shared" si="5"/>
        <v>1293</v>
      </c>
      <c r="N38" s="75" t="s">
        <v>267</v>
      </c>
    </row>
    <row r="39" spans="2:15" x14ac:dyDescent="0.3">
      <c r="B39" s="16" t="s">
        <v>40</v>
      </c>
      <c r="C39" s="16"/>
      <c r="D39" s="1">
        <v>381178</v>
      </c>
      <c r="E39" s="1">
        <v>325022</v>
      </c>
      <c r="F39" s="1">
        <v>265992</v>
      </c>
      <c r="G39" s="1">
        <v>203943</v>
      </c>
      <c r="H39" s="18">
        <f>G39</f>
        <v>203943</v>
      </c>
      <c r="I39" s="18">
        <f t="shared" ref="I39:L39" si="6">H39</f>
        <v>203943</v>
      </c>
      <c r="J39" s="18">
        <f t="shared" si="6"/>
        <v>203943</v>
      </c>
      <c r="K39" s="18">
        <f t="shared" si="6"/>
        <v>203943</v>
      </c>
      <c r="L39" s="18">
        <f t="shared" si="6"/>
        <v>203943</v>
      </c>
      <c r="N39" t="s">
        <v>149</v>
      </c>
      <c r="O39" s="75" t="s">
        <v>267</v>
      </c>
    </row>
    <row r="40" spans="2:15" x14ac:dyDescent="0.3">
      <c r="B40" t="s">
        <v>102</v>
      </c>
      <c r="D40">
        <v>836</v>
      </c>
      <c r="E40" s="1">
        <v>0</v>
      </c>
      <c r="F40" s="1">
        <v>0</v>
      </c>
      <c r="G40" s="1">
        <v>0</v>
      </c>
      <c r="H40" s="18">
        <v>0</v>
      </c>
      <c r="I40" s="18">
        <v>0</v>
      </c>
      <c r="J40" s="18">
        <v>0</v>
      </c>
      <c r="K40" s="18">
        <v>0</v>
      </c>
      <c r="L40" s="18">
        <v>0</v>
      </c>
      <c r="N40" s="75" t="s">
        <v>267</v>
      </c>
    </row>
    <row r="41" spans="2:15" x14ac:dyDescent="0.3">
      <c r="B41" s="15" t="s">
        <v>49</v>
      </c>
      <c r="C41" s="15"/>
      <c r="D41" s="1">
        <v>172522</v>
      </c>
      <c r="E41" s="1">
        <v>167169</v>
      </c>
      <c r="F41" s="1">
        <v>176782</v>
      </c>
      <c r="G41" s="1">
        <v>215018</v>
      </c>
      <c r="H41" s="18">
        <f>G41+'Cash Flow Statement'!H52</f>
        <v>215018</v>
      </c>
      <c r="I41" s="18">
        <f>H41+'Cash Flow Statement'!I52</f>
        <v>215018</v>
      </c>
      <c r="J41" s="18">
        <f>I41+'Cash Flow Statement'!J52</f>
        <v>215018</v>
      </c>
      <c r="K41" s="18">
        <f>J41+'Cash Flow Statement'!K52</f>
        <v>215018</v>
      </c>
      <c r="L41" s="18">
        <f>K41+'Cash Flow Statement'!L52</f>
        <v>215018</v>
      </c>
      <c r="N41" t="s">
        <v>148</v>
      </c>
    </row>
    <row r="42" spans="2:15" x14ac:dyDescent="0.3">
      <c r="B42" s="2" t="s">
        <v>46</v>
      </c>
      <c r="C42" s="2"/>
      <c r="D42" s="1">
        <f>SUM(D37:D41)</f>
        <v>32272441</v>
      </c>
      <c r="E42" s="1">
        <f>SUM(E37:E41)</f>
        <v>32663323</v>
      </c>
      <c r="F42" s="1">
        <f>SUM(F37:F41)</f>
        <v>28118682</v>
      </c>
      <c r="G42" s="1">
        <f>SUM(G37:G41)</f>
        <v>33498401</v>
      </c>
      <c r="H42" s="18">
        <f>SUM(H37:H41)</f>
        <v>33498401</v>
      </c>
      <c r="I42" s="18">
        <f t="shared" ref="I42:K42" si="7">SUM(I37:I41)</f>
        <v>33498401</v>
      </c>
      <c r="J42" s="18">
        <f t="shared" si="7"/>
        <v>33498401</v>
      </c>
      <c r="K42" s="18">
        <f t="shared" si="7"/>
        <v>33498401</v>
      </c>
      <c r="L42" s="18">
        <f>SUM(L37:L41)</f>
        <v>33498401</v>
      </c>
    </row>
    <row r="43" spans="2:15" x14ac:dyDescent="0.3">
      <c r="H43" s="17"/>
      <c r="I43" s="17"/>
      <c r="J43" s="17"/>
      <c r="K43" s="17"/>
      <c r="L43" s="17"/>
    </row>
    <row r="44" spans="2:15" x14ac:dyDescent="0.3">
      <c r="B44" s="2" t="s">
        <v>51</v>
      </c>
      <c r="C44" s="2"/>
      <c r="D44" s="2"/>
      <c r="E44" s="2"/>
      <c r="H44" s="17"/>
      <c r="I44" s="17"/>
      <c r="J44" s="17"/>
      <c r="K44" s="17"/>
      <c r="L44" s="17"/>
    </row>
    <row r="45" spans="2:15" x14ac:dyDescent="0.3">
      <c r="B45" t="s">
        <v>52</v>
      </c>
      <c r="D45" s="1">
        <v>5196</v>
      </c>
      <c r="E45" s="1">
        <v>5196</v>
      </c>
      <c r="F45" s="1">
        <v>5196</v>
      </c>
      <c r="G45" s="1">
        <v>5197</v>
      </c>
      <c r="H45" s="18">
        <f>G45+'Cash Flow Statement'!H36</f>
        <v>5197</v>
      </c>
      <c r="I45" s="18">
        <f>H45+'Cash Flow Statement'!I36</f>
        <v>5197</v>
      </c>
      <c r="J45" s="18">
        <f>I45+'Cash Flow Statement'!J36</f>
        <v>5197</v>
      </c>
      <c r="K45" s="18">
        <f>J45+'Cash Flow Statement'!K36</f>
        <v>5197</v>
      </c>
      <c r="L45" s="18">
        <f>K45+'Cash Flow Statement'!L36</f>
        <v>5197</v>
      </c>
      <c r="N45" t="s">
        <v>125</v>
      </c>
    </row>
    <row r="46" spans="2:15" x14ac:dyDescent="0.3">
      <c r="B46" t="s">
        <v>53</v>
      </c>
      <c r="D46" s="1">
        <v>161746</v>
      </c>
      <c r="E46" s="1">
        <v>161746</v>
      </c>
      <c r="F46" s="1">
        <v>267315</v>
      </c>
      <c r="G46" s="1">
        <v>385288</v>
      </c>
      <c r="H46" s="18">
        <f>G46</f>
        <v>385288</v>
      </c>
      <c r="I46" s="18">
        <f t="shared" ref="I46:L46" si="8">H46</f>
        <v>385288</v>
      </c>
      <c r="J46" s="18">
        <f t="shared" si="8"/>
        <v>385288</v>
      </c>
      <c r="K46" s="18">
        <f t="shared" si="8"/>
        <v>385288</v>
      </c>
      <c r="L46" s="18">
        <f t="shared" si="8"/>
        <v>385288</v>
      </c>
      <c r="N46" t="s">
        <v>125</v>
      </c>
    </row>
    <row r="47" spans="2:15" x14ac:dyDescent="0.3">
      <c r="B47" t="s">
        <v>54</v>
      </c>
      <c r="D47" s="1">
        <v>-50184</v>
      </c>
      <c r="E47" s="1">
        <v>-109000</v>
      </c>
      <c r="F47" s="1">
        <v>-112062</v>
      </c>
      <c r="G47" s="1">
        <v>-160749</v>
      </c>
      <c r="H47" s="18">
        <f>G47+'Cash Flow Statement'!H45</f>
        <v>-196899.5</v>
      </c>
      <c r="I47" s="18">
        <f>H47+'Cash Flow Statement'!I45</f>
        <v>-233050</v>
      </c>
      <c r="J47" s="18">
        <f>I47+'Cash Flow Statement'!J45</f>
        <v>-269200.5</v>
      </c>
      <c r="K47" s="18">
        <f>J47+'Cash Flow Statement'!K45</f>
        <v>-305351</v>
      </c>
      <c r="L47" s="18">
        <f>K47+'Cash Flow Statement'!L45</f>
        <v>-341501.5</v>
      </c>
    </row>
    <row r="48" spans="2:15" x14ac:dyDescent="0.3">
      <c r="B48" t="s">
        <v>55</v>
      </c>
      <c r="D48" s="1">
        <v>3985521</v>
      </c>
      <c r="E48" s="1">
        <v>2395122</v>
      </c>
      <c r="F48" s="1">
        <v>2840309</v>
      </c>
      <c r="G48" s="1">
        <v>1288723</v>
      </c>
      <c r="H48" s="18">
        <f ca="1">G48+'Cash Flow Statement'!H6+'Cash Flow Statement'!H9+'Cash Flow Statement'!H10+'Cash Flow Statement'!H11+'Cash Flow Statement'!H13+'Cash Flow Statement'!H14+'Cash Flow Statement'!H16+'Cash Flow Statement'!H25+'Cash Flow Statement'!H32+'Cash Flow Statement'!H35+'Cash Flow Statement'!H47+'Cash Flow Statement'!H48+'Cash Flow Statement'!H49+'Cash Flow Statement'!H44+'Cash Flow Statement'!H57</f>
        <v>1890144.3310375968</v>
      </c>
      <c r="I48" s="18">
        <f ca="1">H48+'Cash Flow Statement'!I6+'Cash Flow Statement'!I9+'Cash Flow Statement'!I10+'Cash Flow Statement'!I11+'Cash Flow Statement'!I13+'Cash Flow Statement'!I14+'Cash Flow Statement'!I16+'Cash Flow Statement'!I25+'Cash Flow Statement'!I32+'Cash Flow Statement'!I35+'Cash Flow Statement'!I47+'Cash Flow Statement'!I48+'Cash Flow Statement'!I49+'Cash Flow Statement'!I44+'Cash Flow Statement'!I57</f>
        <v>3660669.851338611</v>
      </c>
      <c r="J48" s="18">
        <f ca="1">I48+'Cash Flow Statement'!J6+'Cash Flow Statement'!J9+'Cash Flow Statement'!J10+'Cash Flow Statement'!J11+'Cash Flow Statement'!J13+'Cash Flow Statement'!J14+'Cash Flow Statement'!J16+'Cash Flow Statement'!J25+'Cash Flow Statement'!J32+'Cash Flow Statement'!J35+'Cash Flow Statement'!J47+'Cash Flow Statement'!J48+'Cash Flow Statement'!J49+'Cash Flow Statement'!J44+'Cash Flow Statement'!J57</f>
        <v>5846739.9639226319</v>
      </c>
      <c r="K48" s="18">
        <f ca="1">J48+'Cash Flow Statement'!K6+'Cash Flow Statement'!K9+'Cash Flow Statement'!K10+'Cash Flow Statement'!K11+'Cash Flow Statement'!K13+'Cash Flow Statement'!K14+'Cash Flow Statement'!K16+'Cash Flow Statement'!K25+'Cash Flow Statement'!K32+'Cash Flow Statement'!K35+'Cash Flow Statement'!K47+'Cash Flow Statement'!K48+'Cash Flow Statement'!K49+'Cash Flow Statement'!K44+'Cash Flow Statement'!K57</f>
        <v>8267059.428229603</v>
      </c>
      <c r="L48" s="18">
        <f ca="1">K48+'Cash Flow Statement'!L6+'Cash Flow Statement'!L9+'Cash Flow Statement'!L10+'Cash Flow Statement'!L11+'Cash Flow Statement'!L13+'Cash Flow Statement'!L14+'Cash Flow Statement'!L16+'Cash Flow Statement'!L25+'Cash Flow Statement'!L32+'Cash Flow Statement'!L35+'Cash Flow Statement'!L47+'Cash Flow Statement'!L48+'Cash Flow Statement'!L49+'Cash Flow Statement'!L44+'Cash Flow Statement'!L57</f>
        <v>11145240.243390638</v>
      </c>
      <c r="N48" s="76" t="s">
        <v>272</v>
      </c>
    </row>
    <row r="49" spans="2:14" x14ac:dyDescent="0.3">
      <c r="B49" s="2" t="s">
        <v>56</v>
      </c>
      <c r="C49" s="2"/>
      <c r="D49" s="1">
        <f>SUM(D45:D48)</f>
        <v>4102279</v>
      </c>
      <c r="E49" s="1">
        <f>SUM(E45:E48)</f>
        <v>2453064</v>
      </c>
      <c r="F49" s="1">
        <f>SUM(F45:F48)</f>
        <v>3000758</v>
      </c>
      <c r="G49" s="1">
        <f>SUM(G45:G48)</f>
        <v>1518459</v>
      </c>
      <c r="H49" s="18">
        <f ca="1">SUM(H45:H48)</f>
        <v>2083729.8310375968</v>
      </c>
      <c r="I49" s="18">
        <f t="shared" ref="I49:K49" ca="1" si="9">SUM(I45:I48)</f>
        <v>3818104.851338611</v>
      </c>
      <c r="J49" s="18">
        <f t="shared" ca="1" si="9"/>
        <v>5968024.4639226319</v>
      </c>
      <c r="K49" s="18">
        <f t="shared" ca="1" si="9"/>
        <v>8352193.428229603</v>
      </c>
      <c r="L49" s="18">
        <f ca="1">SUM(L45:L48)</f>
        <v>11194223.743390638</v>
      </c>
      <c r="N49" t="s">
        <v>273</v>
      </c>
    </row>
    <row r="50" spans="2:14" x14ac:dyDescent="0.3">
      <c r="H50" s="17"/>
      <c r="I50" s="17"/>
      <c r="J50" s="17"/>
      <c r="K50" s="17"/>
      <c r="L50" s="17"/>
    </row>
    <row r="51" spans="2:14" x14ac:dyDescent="0.3">
      <c r="B51" s="2" t="s">
        <v>59</v>
      </c>
      <c r="C51" s="2"/>
      <c r="D51" s="1">
        <f>D13+D23</f>
        <v>42283507</v>
      </c>
      <c r="E51" s="1">
        <f>E13+E23</f>
        <v>42945473</v>
      </c>
      <c r="F51" s="1">
        <f>F13+F23</f>
        <v>42995739</v>
      </c>
      <c r="G51" s="1">
        <f>G13+G23</f>
        <v>46081791</v>
      </c>
      <c r="H51" s="1">
        <f t="shared" ref="H51:K51" ca="1" si="10">H13+H23</f>
        <v>48122095.904714003</v>
      </c>
      <c r="I51" s="1">
        <f t="shared" ca="1" si="10"/>
        <v>51106413.832382664</v>
      </c>
      <c r="J51" s="1">
        <f t="shared" ca="1" si="10"/>
        <v>54631270.643071085</v>
      </c>
      <c r="K51" s="1">
        <f t="shared" ca="1" si="10"/>
        <v>58527870.525292903</v>
      </c>
      <c r="L51" s="1">
        <f ca="1">L13+L23</f>
        <v>63033574.850160271</v>
      </c>
      <c r="N51" t="s">
        <v>279</v>
      </c>
    </row>
    <row r="52" spans="2:14" x14ac:dyDescent="0.3">
      <c r="B52" s="2" t="s">
        <v>60</v>
      </c>
      <c r="C52" s="2"/>
      <c r="D52" s="1">
        <f>D34+D42+D49</f>
        <v>42283507</v>
      </c>
      <c r="E52" s="1">
        <f>E34+E42+E49</f>
        <v>42945473</v>
      </c>
      <c r="F52" s="1">
        <f>F34+F42+F49</f>
        <v>42995739</v>
      </c>
      <c r="G52" s="1">
        <f>G34+G42+G49</f>
        <v>46081791</v>
      </c>
      <c r="H52" s="1">
        <f t="shared" ref="H52:K52" ca="1" si="11">H34+H42+H49</f>
        <v>48122095.904714003</v>
      </c>
      <c r="I52" s="1">
        <f t="shared" ca="1" si="11"/>
        <v>51106413.832382657</v>
      </c>
      <c r="J52" s="1">
        <f t="shared" ca="1" si="11"/>
        <v>54631270.643071085</v>
      </c>
      <c r="K52" s="1">
        <f t="shared" ca="1" si="11"/>
        <v>58527870.525292903</v>
      </c>
      <c r="L52" s="1">
        <f ca="1">L34+L42+L49</f>
        <v>63033574.850160271</v>
      </c>
      <c r="N52" t="s">
        <v>280</v>
      </c>
    </row>
    <row r="53" spans="2:14" x14ac:dyDescent="0.3">
      <c r="N53" t="s">
        <v>281</v>
      </c>
    </row>
    <row r="54" spans="2:14" x14ac:dyDescent="0.3">
      <c r="F54" t="s">
        <v>276</v>
      </c>
      <c r="G54" s="1">
        <f>G51-G52</f>
        <v>0</v>
      </c>
      <c r="H54" s="1">
        <f t="shared" ref="H54:L54" ca="1" si="12">H51-H52</f>
        <v>0</v>
      </c>
      <c r="I54" s="1">
        <f t="shared" ca="1" si="12"/>
        <v>0</v>
      </c>
      <c r="J54" s="1">
        <f t="shared" ca="1" si="12"/>
        <v>0</v>
      </c>
      <c r="K54" s="1">
        <f t="shared" ca="1" si="12"/>
        <v>0</v>
      </c>
      <c r="L54" s="1">
        <f t="shared" ca="1" si="12"/>
        <v>0</v>
      </c>
      <c r="N54" t="s">
        <v>282</v>
      </c>
    </row>
  </sheetData>
  <mergeCells count="2">
    <mergeCell ref="D2:G2"/>
    <mergeCell ref="H2:L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4D7EC-ADF0-495A-AD08-08DE1093E601}">
  <dimension ref="A2:N69"/>
  <sheetViews>
    <sheetView topLeftCell="A25" zoomScaleNormal="100" workbookViewId="0">
      <selection activeCell="B28" sqref="B28"/>
    </sheetView>
  </sheetViews>
  <sheetFormatPr defaultRowHeight="14.4" x14ac:dyDescent="0.3"/>
  <cols>
    <col min="2" max="2" width="58.109375" bestFit="1" customWidth="1"/>
    <col min="3" max="3" width="13.109375" customWidth="1"/>
    <col min="4" max="4" width="10.88671875" bestFit="1" customWidth="1"/>
    <col min="5" max="5" width="9.88671875" bestFit="1" customWidth="1"/>
    <col min="6" max="6" width="11" bestFit="1" customWidth="1"/>
    <col min="7" max="7" width="10.33203125" bestFit="1" customWidth="1"/>
    <col min="8" max="8" width="12.77734375" bestFit="1" customWidth="1"/>
    <col min="9" max="12" width="11.6640625" bestFit="1" customWidth="1"/>
    <col min="14" max="14" width="0" hidden="1" customWidth="1"/>
  </cols>
  <sheetData>
    <row r="2" spans="1:14" x14ac:dyDescent="0.3">
      <c r="D2" s="180" t="s">
        <v>332</v>
      </c>
      <c r="E2" s="180"/>
      <c r="F2" s="180"/>
      <c r="G2" s="180"/>
      <c r="H2" s="178" t="s">
        <v>333</v>
      </c>
      <c r="I2" s="178"/>
      <c r="J2" s="178"/>
      <c r="K2" s="178"/>
      <c r="L2" s="179"/>
    </row>
    <row r="3" spans="1:14" ht="15" thickBot="1" x14ac:dyDescent="0.35">
      <c r="B3" s="134" t="s">
        <v>331</v>
      </c>
      <c r="C3" s="58"/>
      <c r="D3" s="136" t="s">
        <v>109</v>
      </c>
      <c r="E3" s="136" t="s">
        <v>110</v>
      </c>
      <c r="F3" s="136" t="s">
        <v>111</v>
      </c>
      <c r="G3" s="136" t="s">
        <v>112</v>
      </c>
      <c r="H3" s="136" t="s">
        <v>113</v>
      </c>
      <c r="I3" s="136" t="s">
        <v>114</v>
      </c>
      <c r="J3" s="136" t="s">
        <v>115</v>
      </c>
      <c r="K3" s="136" t="s">
        <v>116</v>
      </c>
      <c r="L3" s="136" t="s">
        <v>117</v>
      </c>
      <c r="N3" t="s">
        <v>106</v>
      </c>
    </row>
    <row r="5" spans="1:14" x14ac:dyDescent="0.3">
      <c r="A5" s="3"/>
      <c r="B5" s="2" t="s">
        <v>62</v>
      </c>
      <c r="C5" s="2"/>
      <c r="D5" s="2"/>
      <c r="E5" s="2"/>
    </row>
    <row r="6" spans="1:14" x14ac:dyDescent="0.3">
      <c r="B6" t="s">
        <v>61</v>
      </c>
      <c r="D6" s="1">
        <v>2416860</v>
      </c>
      <c r="E6" s="1">
        <v>1447959</v>
      </c>
      <c r="F6" s="1">
        <v>3712921</v>
      </c>
      <c r="G6" s="1">
        <v>6257817</v>
      </c>
      <c r="H6" s="1">
        <f ca="1">'Income Statement'!H36</f>
        <v>5722847.2918035202</v>
      </c>
      <c r="I6" s="1">
        <f ca="1">'Income Statement'!I36</f>
        <v>6444350.4810669385</v>
      </c>
      <c r="J6" s="1">
        <f ca="1">'Income Statement'!J36</f>
        <v>7239650.0733499452</v>
      </c>
      <c r="K6" s="1">
        <f ca="1">'Income Statement'!K36</f>
        <v>8114359.5739464713</v>
      </c>
      <c r="L6" s="1">
        <f ca="1">'Income Statement'!L36</f>
        <v>9076340.6544624548</v>
      </c>
      <c r="N6" t="s">
        <v>123</v>
      </c>
    </row>
    <row r="7" spans="1:14" x14ac:dyDescent="0.3">
      <c r="B7" t="s">
        <v>63</v>
      </c>
      <c r="D7" s="1">
        <v>905043</v>
      </c>
      <c r="E7" s="1">
        <v>1496067</v>
      </c>
      <c r="F7" s="1">
        <v>2680647</v>
      </c>
      <c r="G7" s="1">
        <v>2631084</v>
      </c>
      <c r="H7" s="46">
        <f>Depreciation!H66</f>
        <v>2728495.2</v>
      </c>
      <c r="I7" s="46">
        <f>Depreciation!I66</f>
        <v>2863045.3489571582</v>
      </c>
      <c r="J7" s="46">
        <f>Depreciation!J66</f>
        <v>3011050.5128100319</v>
      </c>
      <c r="K7" s="46">
        <f>Depreciation!K66</f>
        <v>3173856.1930481927</v>
      </c>
      <c r="L7" s="46">
        <f>Depreciation!L66</f>
        <v>3352942.4413101701</v>
      </c>
      <c r="N7" t="s">
        <v>140</v>
      </c>
    </row>
    <row r="8" spans="1:14" x14ac:dyDescent="0.3">
      <c r="B8" t="s">
        <v>64</v>
      </c>
      <c r="D8" s="1">
        <v>95330</v>
      </c>
      <c r="E8" s="1">
        <v>95330</v>
      </c>
      <c r="F8" s="1">
        <v>95330</v>
      </c>
      <c r="G8" s="1">
        <v>95330</v>
      </c>
      <c r="H8" s="1">
        <f>G8</f>
        <v>95330</v>
      </c>
      <c r="I8" s="1">
        <f t="shared" ref="I8:L9" si="0">H8</f>
        <v>95330</v>
      </c>
      <c r="J8" s="1">
        <f t="shared" si="0"/>
        <v>95330</v>
      </c>
      <c r="K8" s="1">
        <f t="shared" si="0"/>
        <v>95330</v>
      </c>
      <c r="L8" s="1">
        <f t="shared" si="0"/>
        <v>95330</v>
      </c>
      <c r="N8" t="s">
        <v>135</v>
      </c>
    </row>
    <row r="9" spans="1:14" x14ac:dyDescent="0.3">
      <c r="B9" t="s">
        <v>11</v>
      </c>
      <c r="D9" s="1">
        <v>11599</v>
      </c>
      <c r="E9" s="1">
        <v>24814</v>
      </c>
      <c r="F9" s="1">
        <v>133464</v>
      </c>
      <c r="G9" s="1">
        <v>153916</v>
      </c>
      <c r="H9" s="1">
        <f>AVERAGE(F9:G9)</f>
        <v>143690</v>
      </c>
      <c r="I9" s="1">
        <f>H9</f>
        <v>143690</v>
      </c>
      <c r="J9" s="1">
        <f t="shared" si="0"/>
        <v>143690</v>
      </c>
      <c r="K9" s="1">
        <f t="shared" si="0"/>
        <v>143690</v>
      </c>
      <c r="L9" s="1">
        <f t="shared" si="0"/>
        <v>143690</v>
      </c>
      <c r="N9" t="s">
        <v>143</v>
      </c>
    </row>
    <row r="10" spans="1:14" x14ac:dyDescent="0.3">
      <c r="B10" t="s">
        <v>65</v>
      </c>
      <c r="D10" s="1">
        <v>63419</v>
      </c>
      <c r="E10" s="1">
        <v>8486</v>
      </c>
      <c r="F10" s="1">
        <v>-56090</v>
      </c>
      <c r="G10" s="1">
        <v>23140</v>
      </c>
      <c r="H10" s="1">
        <v>0</v>
      </c>
      <c r="I10" s="1">
        <v>0</v>
      </c>
      <c r="J10" s="1">
        <v>0</v>
      </c>
      <c r="K10" s="1">
        <v>0</v>
      </c>
      <c r="L10" s="1">
        <v>0</v>
      </c>
      <c r="N10" t="s">
        <v>207</v>
      </c>
    </row>
    <row r="11" spans="1:14" x14ac:dyDescent="0.3">
      <c r="B11" t="s">
        <v>66</v>
      </c>
      <c r="D11" s="1">
        <v>128031</v>
      </c>
      <c r="E11" s="1">
        <v>117894</v>
      </c>
      <c r="F11" s="1">
        <v>111061</v>
      </c>
      <c r="G11" s="1">
        <v>106303</v>
      </c>
      <c r="H11" s="1">
        <f>AVERAGE(D11:G11)</f>
        <v>115822.25</v>
      </c>
      <c r="I11" s="1">
        <f>H11</f>
        <v>115822.25</v>
      </c>
      <c r="J11" s="1">
        <f t="shared" ref="J11:L11" si="1">I11</f>
        <v>115822.25</v>
      </c>
      <c r="K11" s="1">
        <f t="shared" si="1"/>
        <v>115822.25</v>
      </c>
      <c r="L11" s="1">
        <f t="shared" si="1"/>
        <v>115822.25</v>
      </c>
      <c r="N11" t="s">
        <v>141</v>
      </c>
    </row>
    <row r="12" spans="1:14" x14ac:dyDescent="0.3">
      <c r="B12" t="s">
        <v>67</v>
      </c>
      <c r="D12" s="1">
        <v>41078</v>
      </c>
      <c r="E12" s="1">
        <v>-3359</v>
      </c>
      <c r="F12" s="1">
        <v>8202</v>
      </c>
      <c r="G12" s="1">
        <v>0</v>
      </c>
      <c r="H12" s="1">
        <v>0</v>
      </c>
      <c r="I12" s="1">
        <v>0</v>
      </c>
      <c r="J12" s="1">
        <v>0</v>
      </c>
      <c r="K12" s="1">
        <v>0</v>
      </c>
      <c r="L12" s="1">
        <v>0</v>
      </c>
      <c r="N12" t="s">
        <v>142</v>
      </c>
    </row>
    <row r="13" spans="1:14" x14ac:dyDescent="0.3">
      <c r="B13" t="s">
        <v>14</v>
      </c>
      <c r="D13" s="1">
        <v>-31199</v>
      </c>
      <c r="E13" s="1">
        <v>-24174</v>
      </c>
      <c r="F13" s="1">
        <v>-14964</v>
      </c>
      <c r="G13" s="1">
        <v>-102592</v>
      </c>
      <c r="H13" s="18">
        <v>0</v>
      </c>
      <c r="I13" s="18">
        <v>0</v>
      </c>
      <c r="J13" s="18">
        <v>0</v>
      </c>
      <c r="K13" s="18">
        <v>0</v>
      </c>
      <c r="L13" s="18">
        <v>0</v>
      </c>
      <c r="N13" s="72" t="s">
        <v>257</v>
      </c>
    </row>
    <row r="14" spans="1:14" x14ac:dyDescent="0.3">
      <c r="B14" t="s">
        <v>15</v>
      </c>
      <c r="D14" s="1">
        <v>595628</v>
      </c>
      <c r="E14" s="1">
        <v>838055</v>
      </c>
      <c r="F14" s="1">
        <v>1269784</v>
      </c>
      <c r="G14" s="1">
        <v>1495646</v>
      </c>
      <c r="H14" s="18">
        <v>0</v>
      </c>
      <c r="I14" s="18">
        <v>0</v>
      </c>
      <c r="J14" s="18">
        <v>0</v>
      </c>
      <c r="K14" s="18">
        <v>0</v>
      </c>
      <c r="L14" s="18">
        <v>0</v>
      </c>
      <c r="N14" s="72" t="s">
        <v>257</v>
      </c>
    </row>
    <row r="15" spans="1:14" x14ac:dyDescent="0.3">
      <c r="B15" t="s">
        <v>17</v>
      </c>
      <c r="D15" s="1">
        <v>22545</v>
      </c>
      <c r="E15" s="1">
        <v>0</v>
      </c>
      <c r="F15" s="1">
        <v>223928</v>
      </c>
      <c r="G15" s="1">
        <v>7452</v>
      </c>
      <c r="H15" s="1">
        <f>'Income Statement'!H33</f>
        <v>0</v>
      </c>
      <c r="I15" s="1">
        <f>'Income Statement'!I33</f>
        <v>0</v>
      </c>
      <c r="J15" s="1">
        <f>'Income Statement'!J33</f>
        <v>0</v>
      </c>
      <c r="K15" s="1">
        <f>'Income Statement'!K33</f>
        <v>0</v>
      </c>
      <c r="L15" s="1">
        <f>'Income Statement'!L33</f>
        <v>0</v>
      </c>
      <c r="N15" t="s">
        <v>144</v>
      </c>
    </row>
    <row r="16" spans="1:14" x14ac:dyDescent="0.3">
      <c r="B16" t="s">
        <v>16</v>
      </c>
      <c r="D16" s="1">
        <v>-12853</v>
      </c>
      <c r="E16" s="1">
        <v>6051</v>
      </c>
      <c r="F16" s="1">
        <v>169773</v>
      </c>
      <c r="G16" s="1">
        <v>40132</v>
      </c>
      <c r="H16" s="17">
        <f>'Income Statement'!H32</f>
        <v>0</v>
      </c>
      <c r="I16" s="17">
        <f>'Income Statement'!I32</f>
        <v>0</v>
      </c>
      <c r="J16" s="17">
        <f>'Income Statement'!J32</f>
        <v>0</v>
      </c>
      <c r="K16" s="17">
        <f>'Income Statement'!K32</f>
        <v>0</v>
      </c>
      <c r="L16" s="17">
        <f>'Income Statement'!L32</f>
        <v>0</v>
      </c>
      <c r="N16" t="s">
        <v>258</v>
      </c>
    </row>
    <row r="17" spans="2:14" x14ac:dyDescent="0.3">
      <c r="B17" s="3" t="s">
        <v>68</v>
      </c>
      <c r="C17" s="3"/>
      <c r="D17" s="3"/>
      <c r="E17" s="3"/>
    </row>
    <row r="18" spans="2:14" x14ac:dyDescent="0.3">
      <c r="B18" t="s">
        <v>69</v>
      </c>
      <c r="D18" s="1">
        <v>6093</v>
      </c>
      <c r="E18" s="1">
        <v>-158194</v>
      </c>
      <c r="F18" s="1">
        <v>6379</v>
      </c>
      <c r="G18" s="1">
        <v>19019</v>
      </c>
      <c r="H18" s="18">
        <f>'Operating Working Capital'!H6-'Operating Working Capital'!I6</f>
        <v>-28500.632045989332</v>
      </c>
      <c r="I18" s="18">
        <f>'Operating Working Capital'!I6-'Operating Working Capital'!J6</f>
        <v>-34112.563204599021</v>
      </c>
      <c r="J18" s="18">
        <f>'Operating Working Capital'!J6-'Operating Working Capital'!K6</f>
        <v>-37523.819525058789</v>
      </c>
      <c r="K18" s="18">
        <f>'Operating Working Capital'!K6-'Operating Working Capital'!L6</f>
        <v>-41276.201477564697</v>
      </c>
      <c r="L18" s="18">
        <f>'Operating Working Capital'!L6-'Operating Working Capital'!M6</f>
        <v>-45403.821625321289</v>
      </c>
    </row>
    <row r="19" spans="2:14" x14ac:dyDescent="0.3">
      <c r="B19" t="s">
        <v>70</v>
      </c>
      <c r="D19" s="1">
        <v>46974</v>
      </c>
      <c r="E19" s="1">
        <v>-286498</v>
      </c>
      <c r="F19" s="1">
        <v>112470</v>
      </c>
      <c r="G19" s="1">
        <v>-469197</v>
      </c>
      <c r="H19" s="47">
        <f>'Operating Working Capital'!H8-'Operating Working Capital'!I8</f>
        <v>111495.32374777133</v>
      </c>
      <c r="I19" s="47">
        <f>'Operating Working Capital'!I8-'Operating Working Capital'!J8</f>
        <v>-102397.86762522301</v>
      </c>
      <c r="J19" s="47">
        <f>'Operating Working Capital'!J8-'Operating Working Capital'!K8</f>
        <v>-112637.65438774531</v>
      </c>
      <c r="K19" s="47">
        <f>'Operating Working Capital'!K8-'Operating Working Capital'!L8</f>
        <v>-123901.41982651968</v>
      </c>
      <c r="L19" s="47">
        <f>'Operating Working Capital'!L8-'Operating Working Capital'!M8</f>
        <v>-136291.56180917192</v>
      </c>
    </row>
    <row r="20" spans="2:14" x14ac:dyDescent="0.3">
      <c r="B20" t="s">
        <v>71</v>
      </c>
      <c r="D20" s="1">
        <v>-151440</v>
      </c>
      <c r="E20" s="1">
        <v>-140588</v>
      </c>
      <c r="F20" s="1">
        <v>54502</v>
      </c>
      <c r="G20" s="1">
        <v>57910</v>
      </c>
      <c r="H20" s="47">
        <f>'Operating Working Capital'!H10-'Operating Working Capital'!I10</f>
        <v>-25335.651981423085</v>
      </c>
      <c r="I20" s="47">
        <f>'Operating Working Capital'!I10-'Operating Working Capital'!J10</f>
        <v>-16179.765198142326</v>
      </c>
      <c r="J20" s="47">
        <f>'Operating Working Capital'!J10-'Operating Working Capital'!K10</f>
        <v>-17797.741717956553</v>
      </c>
      <c r="K20" s="47">
        <f>'Operating Working Capital'!K10-'Operating Working Capital'!L10</f>
        <v>-19577.515889752191</v>
      </c>
      <c r="L20" s="47">
        <f>'Operating Working Capital'!L10-'Operating Working Capital'!M10</f>
        <v>-21535.267478727474</v>
      </c>
    </row>
    <row r="21" spans="2:14" x14ac:dyDescent="0.3">
      <c r="B21" t="s">
        <v>72</v>
      </c>
      <c r="D21" s="1">
        <v>-445905</v>
      </c>
      <c r="E21" s="1">
        <v>236846</v>
      </c>
      <c r="F21" s="1">
        <v>163488</v>
      </c>
      <c r="G21" s="1">
        <v>78463</v>
      </c>
      <c r="H21" s="47">
        <f>'Operating Working Capital'!I16-'Operating Working Capital'!H16</f>
        <v>48857.192365452764</v>
      </c>
      <c r="I21" s="47">
        <f>'Operating Working Capital'!J16-'Operating Working Capital'!I16</f>
        <v>81576.219236545265</v>
      </c>
      <c r="J21" s="47">
        <f>'Operating Working Capital'!K16-'Operating Working Capital'!J16</f>
        <v>89733.841160199954</v>
      </c>
      <c r="K21" s="47">
        <f>'Operating Working Capital'!L16-'Operating Working Capital'!K16</f>
        <v>98707.225276219891</v>
      </c>
      <c r="L21" s="47">
        <f>'Operating Working Capital'!M16-'Operating Working Capital'!L16</f>
        <v>108577.94780384167</v>
      </c>
    </row>
    <row r="22" spans="2:14" x14ac:dyDescent="0.3">
      <c r="B22" t="s">
        <v>73</v>
      </c>
      <c r="D22" s="1">
        <v>-988717</v>
      </c>
      <c r="E22" s="1">
        <v>1782889</v>
      </c>
      <c r="F22" s="1">
        <v>3970601</v>
      </c>
      <c r="G22" s="1">
        <v>-459641</v>
      </c>
      <c r="H22" s="18">
        <f>'Operating Working Capital'!I18-'Operating Working Capital'!H18+'Operating Working Capital'!I20-'Operating Working Capital'!H20</f>
        <v>1321964.6256056577</v>
      </c>
      <c r="I22" s="18">
        <f>'Operating Working Capital'!J18-'Operating Working Capital'!I18+'Operating Working Capital'!J20-'Operating Working Capital'!I20</f>
        <v>1141925.8625605665</v>
      </c>
      <c r="J22" s="18">
        <f>'Operating Working Capital'!K18-'Operating Working Capital'!J18+'Operating Working Capital'!K20-'Operating Working Capital'!J20</f>
        <v>1256118.4488166235</v>
      </c>
      <c r="K22" s="18">
        <f>'Operating Working Capital'!L18-'Operating Working Capital'!K18+'Operating Working Capital'!L20-'Operating Working Capital'!K20</f>
        <v>1381730.2936982885</v>
      </c>
      <c r="L22" s="18">
        <f>'Operating Working Capital'!M18-'Operating Working Capital'!L18+'Operating Working Capital'!M20-'Operating Working Capital'!L20</f>
        <v>1519903.323068114</v>
      </c>
    </row>
    <row r="23" spans="2:14" x14ac:dyDescent="0.3">
      <c r="B23" t="s">
        <v>74</v>
      </c>
      <c r="D23" s="1">
        <v>-207115</v>
      </c>
      <c r="E23" s="1">
        <v>416683</v>
      </c>
      <c r="F23" s="1">
        <v>38182</v>
      </c>
      <c r="G23" s="1">
        <v>-206728</v>
      </c>
      <c r="H23" s="47">
        <f>'Operating Working Capital'!I22-'Operating Working Capital'!H22</f>
        <v>104212.25570529571</v>
      </c>
      <c r="I23" s="47">
        <f>'Operating Working Capital'!J22-'Operating Working Capital'!I22</f>
        <v>26440.825570529618</v>
      </c>
      <c r="J23" s="47">
        <f>'Operating Working Capital'!K22-'Operating Working Capital'!J22</f>
        <v>29084.908127582516</v>
      </c>
      <c r="K23" s="47">
        <f>'Operating Working Capital'!L22-'Operating Working Capital'!K22</f>
        <v>31993.398940340849</v>
      </c>
      <c r="L23" s="47">
        <f>'Operating Working Capital'!M22-'Operating Working Capital'!L22</f>
        <v>35192.738834374875</v>
      </c>
    </row>
    <row r="24" spans="2:14" x14ac:dyDescent="0.3">
      <c r="B24" t="s">
        <v>268</v>
      </c>
      <c r="D24" s="1">
        <v>0</v>
      </c>
      <c r="E24" s="1">
        <v>0</v>
      </c>
      <c r="F24" s="1">
        <v>0</v>
      </c>
      <c r="G24" s="1">
        <v>0</v>
      </c>
      <c r="H24" s="47">
        <v>0</v>
      </c>
      <c r="I24" s="47">
        <v>0</v>
      </c>
      <c r="J24" s="47">
        <v>0</v>
      </c>
      <c r="K24" s="47">
        <v>0</v>
      </c>
      <c r="L24" s="47">
        <v>0</v>
      </c>
    </row>
    <row r="25" spans="2:14" x14ac:dyDescent="0.3">
      <c r="B25" t="s">
        <v>213</v>
      </c>
      <c r="D25" s="1">
        <v>-15049</v>
      </c>
      <c r="E25" s="1">
        <v>-15049</v>
      </c>
      <c r="F25" s="1">
        <v>-12427</v>
      </c>
      <c r="G25" s="1">
        <v>-12427</v>
      </c>
      <c r="H25" s="18">
        <f>-'Income Statement'!H38</f>
        <v>-12427</v>
      </c>
      <c r="I25" s="18">
        <f>-'Income Statement'!I38</f>
        <v>-12427</v>
      </c>
      <c r="J25" s="18">
        <f>-'Income Statement'!J38</f>
        <v>-12427</v>
      </c>
      <c r="K25" s="18">
        <f ca="1">-'Income Statement'!K38</f>
        <v>-973723.14887357655</v>
      </c>
      <c r="L25" s="18">
        <f ca="1">-'Income Statement'!L38</f>
        <v>-1089160.8785354944</v>
      </c>
    </row>
    <row r="26" spans="2:14" x14ac:dyDescent="0.3">
      <c r="B26" t="s">
        <v>75</v>
      </c>
      <c r="D26" s="1">
        <f>SUM(D6:D16)+SUM(D18:D25)</f>
        <v>2480322</v>
      </c>
      <c r="E26" s="1">
        <f>SUM(E6:E16)+SUM(E18:E25)</f>
        <v>5843212</v>
      </c>
      <c r="F26" s="1">
        <f>SUM(F6:F16)+SUM(F18:F25)</f>
        <v>12667251</v>
      </c>
      <c r="G26" s="1">
        <f>SUM(G6:G16)+SUM(G18:G25)</f>
        <v>9715627</v>
      </c>
      <c r="H26" s="18">
        <f t="shared" ref="H26:L26" ca="1" si="2">SUM(H6:H16)+SUM(H18:H25)</f>
        <v>10326450.855200285</v>
      </c>
      <c r="I26" s="18">
        <f t="shared" ca="1" si="2"/>
        <v>10747063.791363774</v>
      </c>
      <c r="J26" s="18">
        <f t="shared" ca="1" si="2"/>
        <v>11800093.818633623</v>
      </c>
      <c r="K26" s="18">
        <f t="shared" ca="1" si="2"/>
        <v>11997010.6488421</v>
      </c>
      <c r="L26" s="18">
        <f t="shared" ca="1" si="2"/>
        <v>13155407.826030239</v>
      </c>
      <c r="N26" t="s">
        <v>96</v>
      </c>
    </row>
    <row r="27" spans="2:14" x14ac:dyDescent="0.3">
      <c r="D27" s="22"/>
      <c r="E27" s="22"/>
      <c r="F27" s="135"/>
      <c r="G27" s="135"/>
    </row>
    <row r="28" spans="2:14" x14ac:dyDescent="0.3">
      <c r="B28" s="2" t="s">
        <v>76</v>
      </c>
      <c r="C28" s="2"/>
      <c r="D28" s="2"/>
      <c r="E28" s="2"/>
    </row>
    <row r="29" spans="2:14" x14ac:dyDescent="0.3">
      <c r="B29" s="4" t="s">
        <v>171</v>
      </c>
      <c r="C29" s="4"/>
      <c r="D29" s="5">
        <v>-12710134</v>
      </c>
      <c r="E29" s="5">
        <v>-6789643</v>
      </c>
      <c r="F29" s="1">
        <v>-1261136</v>
      </c>
      <c r="G29" s="1">
        <v>-1188837</v>
      </c>
      <c r="H29" s="12">
        <f>-H30*'Income Statement'!H10</f>
        <v>-1742039.7720000001</v>
      </c>
      <c r="I29" s="12">
        <f>-I30*'Income Statement'!I10</f>
        <v>-1916243.7492000004</v>
      </c>
      <c r="J29" s="12">
        <f>-J30*'Income Statement'!J10</f>
        <v>-2107868.1241200007</v>
      </c>
      <c r="K29" s="12">
        <f>-K30*'Income Statement'!K10</f>
        <v>-2318654.936532001</v>
      </c>
      <c r="L29" s="12">
        <f>-L30*'Income Statement'!L10</f>
        <v>-2550520.4301852011</v>
      </c>
    </row>
    <row r="30" spans="2:14" x14ac:dyDescent="0.3">
      <c r="B30" s="4" t="s">
        <v>122</v>
      </c>
      <c r="C30" s="4"/>
      <c r="D30" s="6">
        <f>-D29/'Income Statement'!D10</f>
        <v>0.66557871092220955</v>
      </c>
      <c r="E30" s="6">
        <f>-E29/'Income Statement'!E10</f>
        <v>0.30723092192494322</v>
      </c>
      <c r="F30" s="6">
        <f>-F29/'Income Statement'!F10</f>
        <v>3.7057448159620275E-2</v>
      </c>
      <c r="G30" s="6">
        <f>-G29/'Income Statement'!G10</f>
        <v>3.0027344289588354E-2</v>
      </c>
      <c r="H30" s="8">
        <v>0.04</v>
      </c>
      <c r="I30" s="8">
        <v>0.04</v>
      </c>
      <c r="J30" s="8">
        <v>0.04</v>
      </c>
      <c r="K30" s="8">
        <v>0.04</v>
      </c>
      <c r="L30" s="8">
        <v>0.04</v>
      </c>
      <c r="N30" t="s">
        <v>136</v>
      </c>
    </row>
    <row r="31" spans="2:14" x14ac:dyDescent="0.3">
      <c r="B31" t="s">
        <v>77</v>
      </c>
      <c r="D31" s="1">
        <v>8259</v>
      </c>
      <c r="E31" s="1">
        <v>5691</v>
      </c>
      <c r="F31" s="1">
        <v>6206</v>
      </c>
      <c r="G31" s="1">
        <v>8683</v>
      </c>
      <c r="H31" s="1">
        <v>0</v>
      </c>
      <c r="I31" s="1">
        <v>0</v>
      </c>
      <c r="J31" s="1">
        <v>0</v>
      </c>
      <c r="K31" s="1">
        <v>0</v>
      </c>
      <c r="L31" s="1">
        <v>0</v>
      </c>
      <c r="N31" t="s">
        <v>259</v>
      </c>
    </row>
    <row r="32" spans="2:14" x14ac:dyDescent="0.3">
      <c r="B32" t="s">
        <v>78</v>
      </c>
      <c r="D32">
        <v>0</v>
      </c>
      <c r="E32">
        <v>0</v>
      </c>
      <c r="F32" s="1">
        <v>78036</v>
      </c>
      <c r="G32">
        <v>0</v>
      </c>
      <c r="H32" s="1">
        <v>0</v>
      </c>
      <c r="I32" s="1">
        <v>0</v>
      </c>
      <c r="J32" s="1">
        <v>0</v>
      </c>
      <c r="K32" s="1">
        <v>0</v>
      </c>
      <c r="L32" s="1">
        <v>0</v>
      </c>
    </row>
    <row r="33" spans="2:14" x14ac:dyDescent="0.3">
      <c r="B33" t="s">
        <v>34</v>
      </c>
      <c r="D33">
        <v>0</v>
      </c>
      <c r="E33">
        <v>0</v>
      </c>
      <c r="F33" s="1">
        <v>0</v>
      </c>
      <c r="G33">
        <v>0</v>
      </c>
      <c r="H33" s="1">
        <v>0</v>
      </c>
      <c r="I33" s="1">
        <v>0</v>
      </c>
      <c r="J33" s="1">
        <v>0</v>
      </c>
      <c r="K33" s="1">
        <v>0</v>
      </c>
      <c r="L33" s="1">
        <v>0</v>
      </c>
      <c r="N33" t="s">
        <v>264</v>
      </c>
    </row>
    <row r="34" spans="2:14" x14ac:dyDescent="0.3">
      <c r="B34" t="s">
        <v>35</v>
      </c>
      <c r="D34">
        <v>0</v>
      </c>
      <c r="E34">
        <v>0</v>
      </c>
      <c r="F34" s="1">
        <v>0</v>
      </c>
      <c r="G34">
        <v>0</v>
      </c>
      <c r="H34" s="1">
        <v>0</v>
      </c>
      <c r="I34" s="1">
        <v>0</v>
      </c>
      <c r="J34" s="1">
        <v>0</v>
      </c>
      <c r="K34" s="1">
        <v>0</v>
      </c>
      <c r="L34" s="1">
        <v>0</v>
      </c>
      <c r="N34" t="s">
        <v>264</v>
      </c>
    </row>
    <row r="35" spans="2:14" x14ac:dyDescent="0.3">
      <c r="B35" t="s">
        <v>79</v>
      </c>
      <c r="D35" s="1">
        <v>33680</v>
      </c>
      <c r="E35" s="1">
        <v>26899</v>
      </c>
      <c r="F35" s="1">
        <v>14916</v>
      </c>
      <c r="G35" s="1">
        <v>89851</v>
      </c>
      <c r="H35" s="1">
        <v>0</v>
      </c>
      <c r="I35" s="1">
        <v>0</v>
      </c>
      <c r="J35" s="1">
        <v>0</v>
      </c>
      <c r="K35" s="1">
        <v>0</v>
      </c>
      <c r="L35" s="1">
        <v>0</v>
      </c>
      <c r="N35" s="72" t="s">
        <v>260</v>
      </c>
    </row>
    <row r="36" spans="2:14" x14ac:dyDescent="0.3">
      <c r="B36" t="s">
        <v>270</v>
      </c>
      <c r="D36" s="1">
        <v>0</v>
      </c>
      <c r="E36" s="1">
        <v>0</v>
      </c>
      <c r="F36" s="1">
        <v>0</v>
      </c>
      <c r="G36" s="1">
        <v>0</v>
      </c>
      <c r="H36" s="47">
        <v>0</v>
      </c>
      <c r="I36" s="47">
        <v>0</v>
      </c>
      <c r="J36" s="47">
        <v>0</v>
      </c>
      <c r="K36" s="47">
        <v>0</v>
      </c>
      <c r="L36" s="47">
        <v>0</v>
      </c>
      <c r="N36" s="17" t="s">
        <v>271</v>
      </c>
    </row>
    <row r="37" spans="2:14" x14ac:dyDescent="0.3">
      <c r="B37" t="s">
        <v>80</v>
      </c>
      <c r="D37" s="1">
        <f>D29+SUM(D31:D35)</f>
        <v>-12668195</v>
      </c>
      <c r="E37" s="1">
        <f>E29+SUM(E31:E35)</f>
        <v>-6757053</v>
      </c>
      <c r="F37" s="1">
        <f>F29+SUM(F31:F35)</f>
        <v>-1161978</v>
      </c>
      <c r="G37" s="1">
        <f>G29+SUM(G31:G35)</f>
        <v>-1090303</v>
      </c>
      <c r="H37" s="1">
        <f>H29+SUM(H31:H35)</f>
        <v>-1742039.7720000001</v>
      </c>
      <c r="I37" s="1">
        <f t="shared" ref="I37:L37" si="3">I29+SUM(I31:I35)</f>
        <v>-1916243.7492000004</v>
      </c>
      <c r="J37" s="1">
        <f t="shared" si="3"/>
        <v>-2107868.1241200007</v>
      </c>
      <c r="K37" s="1">
        <f t="shared" si="3"/>
        <v>-2318654.936532001</v>
      </c>
      <c r="L37" s="1">
        <f t="shared" si="3"/>
        <v>-2550520.4301852011</v>
      </c>
    </row>
    <row r="39" spans="2:14" x14ac:dyDescent="0.3">
      <c r="B39" s="2" t="s">
        <v>81</v>
      </c>
      <c r="C39" s="2"/>
      <c r="D39" s="53"/>
      <c r="E39" s="53"/>
      <c r="F39" s="53"/>
      <c r="G39" s="53"/>
    </row>
    <row r="40" spans="2:14" x14ac:dyDescent="0.3">
      <c r="B40" t="s">
        <v>82</v>
      </c>
      <c r="D40" s="1">
        <v>-8388</v>
      </c>
      <c r="E40" s="1">
        <v>-6141</v>
      </c>
      <c r="F40" s="1">
        <v>5223</v>
      </c>
      <c r="G40" s="1">
        <v>-1181</v>
      </c>
      <c r="H40" s="1">
        <v>0</v>
      </c>
      <c r="I40" s="1">
        <v>0</v>
      </c>
      <c r="J40" s="1">
        <v>0</v>
      </c>
      <c r="K40" s="1">
        <v>0</v>
      </c>
      <c r="L40" s="1">
        <v>0</v>
      </c>
      <c r="N40" t="s">
        <v>138</v>
      </c>
    </row>
    <row r="41" spans="2:14" x14ac:dyDescent="0.3">
      <c r="B41" t="s">
        <v>83</v>
      </c>
      <c r="D41" s="1">
        <v>26519638</v>
      </c>
      <c r="E41" s="1">
        <v>3883272</v>
      </c>
      <c r="F41" s="1">
        <v>11951431</v>
      </c>
      <c r="G41" s="1">
        <v>4889494</v>
      </c>
      <c r="H41" s="71"/>
      <c r="I41" s="71"/>
      <c r="J41" s="71"/>
      <c r="K41" s="71"/>
      <c r="L41" s="71"/>
      <c r="N41" t="s">
        <v>98</v>
      </c>
    </row>
    <row r="42" spans="2:14" x14ac:dyDescent="0.3">
      <c r="B42" t="s">
        <v>84</v>
      </c>
      <c r="D42" s="1">
        <v>-13710435</v>
      </c>
      <c r="E42" s="1">
        <v>-3110156</v>
      </c>
      <c r="F42" s="1">
        <v>-16069224</v>
      </c>
      <c r="G42">
        <v>0</v>
      </c>
      <c r="H42" s="13"/>
      <c r="I42" s="13"/>
      <c r="J42" s="13"/>
      <c r="K42" s="13"/>
      <c r="L42" s="13"/>
    </row>
    <row r="43" spans="2:14" x14ac:dyDescent="0.3">
      <c r="B43" t="s">
        <v>139</v>
      </c>
      <c r="D43" s="1">
        <f>SUM(D41:D42)</f>
        <v>12809203</v>
      </c>
      <c r="E43" s="1">
        <f t="shared" ref="E43:G43" si="4">SUM(E41:E42)</f>
        <v>773116</v>
      </c>
      <c r="F43" s="1">
        <f t="shared" si="4"/>
        <v>-4117793</v>
      </c>
      <c r="G43" s="1">
        <f t="shared" si="4"/>
        <v>4889494</v>
      </c>
      <c r="H43" s="18">
        <v>0</v>
      </c>
      <c r="I43" s="18">
        <v>0</v>
      </c>
      <c r="J43" s="18">
        <v>0</v>
      </c>
      <c r="K43" s="18">
        <v>0</v>
      </c>
      <c r="L43" s="18">
        <v>0</v>
      </c>
      <c r="N43" s="10" t="s">
        <v>261</v>
      </c>
    </row>
    <row r="44" spans="2:14" x14ac:dyDescent="0.3">
      <c r="B44" t="s">
        <v>85</v>
      </c>
      <c r="D44" s="1">
        <v>-465794</v>
      </c>
      <c r="E44" s="1">
        <v>-18503</v>
      </c>
      <c r="F44" s="1">
        <v>-396322</v>
      </c>
      <c r="G44" s="1">
        <v>-69573</v>
      </c>
      <c r="H44" s="18">
        <f>D44</f>
        <v>-465794</v>
      </c>
      <c r="I44" s="18">
        <f t="shared" ref="I44:L44" si="5">E44</f>
        <v>-18503</v>
      </c>
      <c r="J44" s="18">
        <f t="shared" si="5"/>
        <v>-396322</v>
      </c>
      <c r="K44" s="18">
        <f t="shared" si="5"/>
        <v>-69573</v>
      </c>
      <c r="L44" s="18">
        <f t="shared" si="5"/>
        <v>-465794</v>
      </c>
      <c r="N44" s="14" t="s">
        <v>103</v>
      </c>
    </row>
    <row r="45" spans="2:14" x14ac:dyDescent="0.3">
      <c r="B45" t="s">
        <v>86</v>
      </c>
      <c r="D45" s="1">
        <v>-34030</v>
      </c>
      <c r="E45" s="1">
        <v>-58816</v>
      </c>
      <c r="F45" s="1">
        <v>-3065</v>
      </c>
      <c r="G45" s="1">
        <v>-48691</v>
      </c>
      <c r="H45" s="1">
        <f>AVERAGE(D45:G45)</f>
        <v>-36150.5</v>
      </c>
      <c r="I45" s="1">
        <f>H45</f>
        <v>-36150.5</v>
      </c>
      <c r="J45" s="1">
        <f t="shared" ref="J45:L45" si="6">I45</f>
        <v>-36150.5</v>
      </c>
      <c r="K45" s="1">
        <f t="shared" si="6"/>
        <v>-36150.5</v>
      </c>
      <c r="L45" s="1">
        <f t="shared" si="6"/>
        <v>-36150.5</v>
      </c>
      <c r="N45" t="s">
        <v>269</v>
      </c>
    </row>
    <row r="46" spans="2:14" x14ac:dyDescent="0.3">
      <c r="B46" t="s">
        <v>104</v>
      </c>
      <c r="D46" s="1">
        <v>-239029</v>
      </c>
      <c r="E46" s="1">
        <v>-124015</v>
      </c>
      <c r="F46" s="1">
        <v>0</v>
      </c>
      <c r="G46" s="1">
        <v>0</v>
      </c>
      <c r="H46" s="1">
        <v>0</v>
      </c>
      <c r="I46" s="1">
        <v>0</v>
      </c>
      <c r="J46" s="1">
        <v>0</v>
      </c>
      <c r="K46" s="1">
        <v>0</v>
      </c>
      <c r="L46" s="1">
        <v>0</v>
      </c>
      <c r="N46" t="s">
        <v>137</v>
      </c>
    </row>
    <row r="47" spans="2:14" x14ac:dyDescent="0.3">
      <c r="B47" t="s">
        <v>87</v>
      </c>
      <c r="D47">
        <v>0</v>
      </c>
      <c r="E47" s="1">
        <v>0</v>
      </c>
      <c r="F47" s="1">
        <v>5499</v>
      </c>
      <c r="G47" s="1">
        <v>14274</v>
      </c>
      <c r="H47" s="1">
        <v>0</v>
      </c>
      <c r="I47" s="1">
        <v>0</v>
      </c>
      <c r="J47" s="1">
        <v>0</v>
      </c>
      <c r="K47" s="1">
        <v>0</v>
      </c>
      <c r="L47" s="1">
        <v>0</v>
      </c>
      <c r="N47" t="s">
        <v>145</v>
      </c>
    </row>
    <row r="48" spans="2:14" x14ac:dyDescent="0.3">
      <c r="B48" t="s">
        <v>88</v>
      </c>
      <c r="D48" s="1">
        <v>-489133</v>
      </c>
      <c r="E48" s="1">
        <v>-685732</v>
      </c>
      <c r="F48" s="1">
        <v>-1079418</v>
      </c>
      <c r="G48" s="1">
        <v>-1328279</v>
      </c>
      <c r="H48" s="1">
        <v>0</v>
      </c>
      <c r="I48" s="1">
        <v>0</v>
      </c>
      <c r="J48" s="1">
        <v>0</v>
      </c>
      <c r="K48" s="1">
        <v>0</v>
      </c>
      <c r="L48" s="1">
        <v>0</v>
      </c>
      <c r="N48" s="72" t="s">
        <v>260</v>
      </c>
    </row>
    <row r="49" spans="2:14" x14ac:dyDescent="0.3">
      <c r="B49" t="s">
        <v>89</v>
      </c>
      <c r="D49" s="1">
        <v>-5446461</v>
      </c>
      <c r="E49" s="1">
        <v>-3109263</v>
      </c>
      <c r="F49" s="1">
        <v>-3272494</v>
      </c>
      <c r="G49" s="1">
        <v>-7790067</v>
      </c>
      <c r="H49" s="1">
        <f>-H50*'Income Statement'!H49*1000</f>
        <v>-4905688.2107659234</v>
      </c>
      <c r="I49" s="1">
        <f>-I50*'Income Statement'!I49*1000</f>
        <v>-4905688.2107659234</v>
      </c>
      <c r="J49" s="1">
        <f>-J50*'Income Statement'!J49*1000</f>
        <v>-4905688.2107659234</v>
      </c>
      <c r="K49" s="1">
        <f>-K50*'Income Statement'!K49*1000</f>
        <v>-4905688.2107659234</v>
      </c>
      <c r="L49" s="1">
        <f>-L50*'Income Statement'!L49*1000</f>
        <v>-4905688.2107659234</v>
      </c>
      <c r="N49" t="s">
        <v>224</v>
      </c>
    </row>
    <row r="50" spans="2:14" x14ac:dyDescent="0.3">
      <c r="B50" t="s">
        <v>221</v>
      </c>
      <c r="D50" s="52">
        <f>-D49*1000/('Income Statement'!D49*1000000)</f>
        <v>1.0500662652372921</v>
      </c>
      <c r="E50" s="52">
        <f>-E49*1000/('Income Statement'!E49*1000000)</f>
        <v>0.60022160898000976</v>
      </c>
      <c r="F50" s="52">
        <f>-F49*1000/('Income Statement'!F49*1000000)</f>
        <v>0.63159405120689283</v>
      </c>
      <c r="G50" s="52">
        <f>-G49*1000/('Income Statement'!G49*1000000)</f>
        <v>1.5022804898994051</v>
      </c>
      <c r="H50" s="51">
        <f>AVERAGE(D50:G50)</f>
        <v>0.94604060383089994</v>
      </c>
      <c r="I50" s="51">
        <f>H50</f>
        <v>0.94604060383089994</v>
      </c>
      <c r="J50" s="51">
        <f t="shared" ref="J50:L50" si="7">I50</f>
        <v>0.94604060383089994</v>
      </c>
      <c r="K50" s="51">
        <f t="shared" si="7"/>
        <v>0.94604060383089994</v>
      </c>
      <c r="L50" s="51">
        <f t="shared" si="7"/>
        <v>0.94604060383089994</v>
      </c>
      <c r="N50" t="s">
        <v>225</v>
      </c>
    </row>
    <row r="51" spans="2:14" x14ac:dyDescent="0.3">
      <c r="B51" t="s">
        <v>277</v>
      </c>
      <c r="D51">
        <v>0</v>
      </c>
      <c r="E51">
        <v>0</v>
      </c>
      <c r="F51" s="1">
        <v>0</v>
      </c>
      <c r="G51">
        <v>0</v>
      </c>
      <c r="H51" s="1">
        <v>0</v>
      </c>
      <c r="I51" s="1">
        <v>0</v>
      </c>
      <c r="J51" s="1">
        <v>0</v>
      </c>
      <c r="K51" s="1">
        <v>0</v>
      </c>
      <c r="L51" s="1">
        <v>0</v>
      </c>
    </row>
    <row r="52" spans="2:14" x14ac:dyDescent="0.3">
      <c r="B52" t="s">
        <v>274</v>
      </c>
      <c r="D52">
        <v>0</v>
      </c>
      <c r="E52">
        <v>0</v>
      </c>
      <c r="F52" s="1">
        <v>0</v>
      </c>
      <c r="G52">
        <v>0</v>
      </c>
      <c r="H52" s="1">
        <v>0</v>
      </c>
      <c r="I52" s="1">
        <v>0</v>
      </c>
      <c r="J52" s="1">
        <v>0</v>
      </c>
      <c r="K52" s="1">
        <v>0</v>
      </c>
      <c r="L52" s="1">
        <v>0</v>
      </c>
      <c r="N52" t="s">
        <v>275</v>
      </c>
    </row>
    <row r="53" spans="2:14" x14ac:dyDescent="0.3">
      <c r="B53" t="s">
        <v>91</v>
      </c>
      <c r="D53" s="1">
        <f>D40+SUM(D43:D49)</f>
        <v>6126368</v>
      </c>
      <c r="E53" s="1">
        <f>E40+SUM(E43:E49)</f>
        <v>-3229354</v>
      </c>
      <c r="F53" s="1">
        <f>F40+SUM(F43:F49)</f>
        <v>-8858370</v>
      </c>
      <c r="G53" s="1">
        <f>G40+SUM(G43:G49)</f>
        <v>-4334023</v>
      </c>
      <c r="H53" s="1">
        <f>H40+SUM(H43:H49)+H52</f>
        <v>-5407632.7107659234</v>
      </c>
      <c r="I53" s="1">
        <f t="shared" ref="I53:L53" si="8">I40+SUM(I43:I49)+I52</f>
        <v>-4960341.7107659234</v>
      </c>
      <c r="J53" s="1">
        <f t="shared" si="8"/>
        <v>-5338160.7107659234</v>
      </c>
      <c r="K53" s="1">
        <f t="shared" si="8"/>
        <v>-5011411.7107659234</v>
      </c>
      <c r="L53" s="1">
        <f t="shared" si="8"/>
        <v>-5407632.7107659234</v>
      </c>
    </row>
    <row r="55" spans="2:14" x14ac:dyDescent="0.3">
      <c r="B55" t="s">
        <v>92</v>
      </c>
      <c r="D55" s="1">
        <f>D26+D37+D53</f>
        <v>-4061505</v>
      </c>
      <c r="E55" s="1">
        <f>E26+E37+E53</f>
        <v>-4143195</v>
      </c>
      <c r="F55" s="1">
        <f>F26+F37+F53</f>
        <v>2646903</v>
      </c>
      <c r="G55" s="1">
        <f>G26+G37+G53</f>
        <v>4291301</v>
      </c>
      <c r="H55" s="1">
        <f ca="1">H26+H37+H53</f>
        <v>3176778.3724343618</v>
      </c>
      <c r="I55" s="1">
        <f t="shared" ref="I55:L55" ca="1" si="9">I26+I37+I53</f>
        <v>3870478.331397851</v>
      </c>
      <c r="J55" s="1">
        <f t="shared" ca="1" si="9"/>
        <v>4354064.9837476993</v>
      </c>
      <c r="K55" s="1">
        <f t="shared" ca="1" si="9"/>
        <v>4666944.0015441747</v>
      </c>
      <c r="L55" s="1">
        <f t="shared" ca="1" si="9"/>
        <v>5197254.6850791154</v>
      </c>
      <c r="N55" t="s">
        <v>99</v>
      </c>
    </row>
    <row r="56" spans="2:14" x14ac:dyDescent="0.3">
      <c r="B56" t="s">
        <v>93</v>
      </c>
      <c r="D56" s="1">
        <v>10789890</v>
      </c>
      <c r="E56" s="1">
        <v>6731356</v>
      </c>
      <c r="F56" s="1">
        <v>2591442</v>
      </c>
      <c r="G56" s="1">
        <v>5239690</v>
      </c>
      <c r="H56" s="1">
        <f>G58</f>
        <v>9526423</v>
      </c>
      <c r="I56" s="1">
        <f t="shared" ref="I56:L56" ca="1" si="10">H58</f>
        <v>12706172.372434363</v>
      </c>
      <c r="J56" s="1">
        <f t="shared" ca="1" si="10"/>
        <v>16579931.703832213</v>
      </c>
      <c r="K56" s="1">
        <f t="shared" ca="1" si="10"/>
        <v>20935341.687579911</v>
      </c>
      <c r="L56" s="1">
        <f t="shared" ca="1" si="10"/>
        <v>25597717.689124085</v>
      </c>
      <c r="N56" t="s">
        <v>97</v>
      </c>
    </row>
    <row r="57" spans="2:14" x14ac:dyDescent="0.3">
      <c r="B57" s="59" t="s">
        <v>94</v>
      </c>
      <c r="C57" s="59"/>
      <c r="D57" s="66">
        <v>2971</v>
      </c>
      <c r="E57" s="66">
        <v>3281</v>
      </c>
      <c r="F57" s="66">
        <v>1345</v>
      </c>
      <c r="G57" s="66">
        <v>-4568</v>
      </c>
      <c r="H57" s="1">
        <f>D57</f>
        <v>2971</v>
      </c>
      <c r="I57" s="1">
        <f t="shared" ref="I57:L57" si="11">E57</f>
        <v>3281</v>
      </c>
      <c r="J57" s="1">
        <f t="shared" si="11"/>
        <v>1345</v>
      </c>
      <c r="K57" s="1">
        <f t="shared" si="11"/>
        <v>-4568</v>
      </c>
      <c r="L57" s="1">
        <f t="shared" si="11"/>
        <v>2971</v>
      </c>
      <c r="N57" t="s">
        <v>262</v>
      </c>
    </row>
    <row r="58" spans="2:14" x14ac:dyDescent="0.3">
      <c r="B58" s="59" t="s">
        <v>95</v>
      </c>
      <c r="C58" s="59"/>
      <c r="D58" s="66">
        <v>6731356</v>
      </c>
      <c r="E58" s="66">
        <v>2591442</v>
      </c>
      <c r="F58" s="66">
        <f>SUM(F55:F57)</f>
        <v>5239690</v>
      </c>
      <c r="G58" s="66">
        <f>SUM(G55:G57)</f>
        <v>9526423</v>
      </c>
      <c r="H58" s="1">
        <f ca="1">H55+H56+H57</f>
        <v>12706172.372434363</v>
      </c>
      <c r="I58" s="1">
        <f t="shared" ref="I58:L58" ca="1" si="12">I55+I56+I57</f>
        <v>16579931.703832213</v>
      </c>
      <c r="J58" s="1">
        <f t="shared" ca="1" si="12"/>
        <v>20935341.687579911</v>
      </c>
      <c r="K58" s="1">
        <f t="shared" ca="1" si="12"/>
        <v>25597717.689124085</v>
      </c>
      <c r="L58" s="1">
        <f t="shared" ca="1" si="12"/>
        <v>30797943.374203201</v>
      </c>
      <c r="N58" t="s">
        <v>105</v>
      </c>
    </row>
    <row r="59" spans="2:14" x14ac:dyDescent="0.3">
      <c r="B59" s="59"/>
      <c r="C59" s="59"/>
      <c r="D59" s="59"/>
      <c r="E59" s="59"/>
      <c r="F59" s="59"/>
      <c r="G59" s="59"/>
    </row>
    <row r="60" spans="2:14" x14ac:dyDescent="0.3">
      <c r="B60" s="43" t="s">
        <v>250</v>
      </c>
      <c r="C60" s="43"/>
      <c r="D60" s="43"/>
      <c r="E60" s="44"/>
      <c r="F60" s="59"/>
      <c r="G60" s="66">
        <f>G55+G57</f>
        <v>4286733</v>
      </c>
      <c r="H60" s="66">
        <f ca="1">H55+H57</f>
        <v>3179749.3724343618</v>
      </c>
      <c r="I60" s="66">
        <f t="shared" ref="I60:L60" ca="1" si="13">I55+I57</f>
        <v>3873759.331397851</v>
      </c>
      <c r="J60" s="66">
        <f t="shared" ca="1" si="13"/>
        <v>4355409.9837476993</v>
      </c>
      <c r="K60" s="66">
        <f t="shared" ca="1" si="13"/>
        <v>4662376.0015441747</v>
      </c>
      <c r="L60" s="66">
        <f t="shared" ca="1" si="13"/>
        <v>5200225.6850791154</v>
      </c>
    </row>
    <row r="61" spans="2:14" x14ac:dyDescent="0.3">
      <c r="B61" s="43"/>
      <c r="C61" s="43"/>
      <c r="D61" s="43"/>
      <c r="E61" s="44"/>
      <c r="F61" s="59"/>
      <c r="G61" s="59"/>
      <c r="H61" s="12"/>
      <c r="I61" s="12"/>
      <c r="J61" s="12"/>
      <c r="K61" s="12"/>
      <c r="L61" s="12"/>
    </row>
    <row r="62" spans="2:14" x14ac:dyDescent="0.3">
      <c r="B62" s="43" t="s">
        <v>251</v>
      </c>
      <c r="C62" s="43"/>
      <c r="D62" s="44"/>
      <c r="E62" s="43"/>
      <c r="F62" s="59"/>
      <c r="G62" s="59"/>
    </row>
    <row r="63" spans="2:14" x14ac:dyDescent="0.3">
      <c r="B63" s="44" t="s">
        <v>228</v>
      </c>
      <c r="C63" s="44"/>
      <c r="D63" s="66">
        <f>D26+D37+D40+D44+D45+D46+D47+D48+D49+D57</f>
        <v>-16867737</v>
      </c>
      <c r="E63" s="66">
        <f t="shared" ref="E63:L63" si="14">E26+E37+E40+E44+E45+E46+E47+E48+E49+E57</f>
        <v>-4913030</v>
      </c>
      <c r="F63" s="66">
        <f t="shared" si="14"/>
        <v>6766041</v>
      </c>
      <c r="G63" s="66">
        <f t="shared" si="14"/>
        <v>-602761</v>
      </c>
      <c r="H63" s="66">
        <f t="shared" ca="1" si="14"/>
        <v>3179749.3724343618</v>
      </c>
      <c r="I63" s="66">
        <f t="shared" ca="1" si="14"/>
        <v>3873759.331397851</v>
      </c>
      <c r="J63" s="66">
        <f t="shared" ca="1" si="14"/>
        <v>4355409.9837476993</v>
      </c>
      <c r="K63" s="66">
        <f t="shared" ca="1" si="14"/>
        <v>4662376.0015441747</v>
      </c>
      <c r="L63" s="66">
        <f t="shared" ca="1" si="14"/>
        <v>5200225.6850791154</v>
      </c>
    </row>
    <row r="64" spans="2:14" x14ac:dyDescent="0.3">
      <c r="B64" s="59"/>
      <c r="C64" s="59"/>
      <c r="D64" s="59"/>
      <c r="E64" s="59"/>
      <c r="F64" s="59"/>
      <c r="G64" s="59"/>
    </row>
    <row r="65" spans="2:7" x14ac:dyDescent="0.3">
      <c r="B65" s="59"/>
      <c r="C65" s="59"/>
      <c r="D65" s="59"/>
      <c r="E65" s="59"/>
      <c r="F65" s="59"/>
      <c r="G65" s="59"/>
    </row>
    <row r="66" spans="2:7" x14ac:dyDescent="0.3">
      <c r="B66" s="59" t="s">
        <v>121</v>
      </c>
      <c r="C66" s="59"/>
      <c r="D66" s="59"/>
      <c r="E66" s="59"/>
      <c r="F66" s="59"/>
      <c r="G66" s="59"/>
    </row>
    <row r="67" spans="2:7" x14ac:dyDescent="0.3">
      <c r="B67" s="59"/>
      <c r="C67" s="59"/>
      <c r="D67" s="59"/>
      <c r="E67" s="59"/>
      <c r="F67" s="59"/>
      <c r="G67" s="59"/>
    </row>
    <row r="68" spans="2:7" x14ac:dyDescent="0.3">
      <c r="B68" s="59"/>
      <c r="C68" s="59"/>
      <c r="D68" s="59"/>
      <c r="E68" s="59"/>
      <c r="F68" s="59"/>
      <c r="G68" s="59"/>
    </row>
    <row r="69" spans="2:7" x14ac:dyDescent="0.3">
      <c r="B69" s="59"/>
      <c r="C69" s="59"/>
      <c r="D69" s="59"/>
      <c r="E69" s="59"/>
      <c r="F69" s="59"/>
      <c r="G69" s="59"/>
    </row>
  </sheetData>
  <mergeCells count="2">
    <mergeCell ref="D2:G2"/>
    <mergeCell ref="H2:L2"/>
  </mergeCells>
  <pageMargins left="0.7" right="0.7" top="0.75" bottom="0.75" header="0.3" footer="0.3"/>
  <ignoredErrors>
    <ignoredError sqref="H37" formulaRange="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B7BE16-06E6-4BE9-BFB7-0EEFE3691034}">
  <dimension ref="A2:N72"/>
  <sheetViews>
    <sheetView topLeftCell="A19" zoomScaleNormal="100" workbookViewId="0">
      <selection activeCell="C3" sqref="C3"/>
    </sheetView>
  </sheetViews>
  <sheetFormatPr defaultRowHeight="14.4" x14ac:dyDescent="0.3"/>
  <cols>
    <col min="2" max="2" width="40.77734375" bestFit="1" customWidth="1"/>
    <col min="3" max="3" width="17.77734375" customWidth="1"/>
    <col min="4" max="4" width="12.44140625" bestFit="1" customWidth="1"/>
    <col min="5" max="5" width="10.109375" bestFit="1" customWidth="1"/>
    <col min="6" max="7" width="10.33203125" bestFit="1" customWidth="1"/>
    <col min="8" max="12" width="13.88671875" bestFit="1" customWidth="1"/>
    <col min="14" max="14" width="0" hidden="1" customWidth="1"/>
  </cols>
  <sheetData>
    <row r="2" spans="1:14" x14ac:dyDescent="0.3">
      <c r="D2" s="180" t="s">
        <v>332</v>
      </c>
      <c r="E2" s="180"/>
      <c r="F2" s="180"/>
      <c r="G2" s="180"/>
      <c r="H2" s="178" t="s">
        <v>333</v>
      </c>
      <c r="I2" s="178"/>
      <c r="J2" s="178"/>
      <c r="K2" s="178"/>
      <c r="L2" s="179"/>
    </row>
    <row r="3" spans="1:14" ht="15" thickBot="1" x14ac:dyDescent="0.35">
      <c r="B3" s="134" t="s">
        <v>331</v>
      </c>
      <c r="C3" s="58"/>
      <c r="D3" s="136" t="s">
        <v>109</v>
      </c>
      <c r="E3" s="136" t="s">
        <v>110</v>
      </c>
      <c r="F3" s="136" t="s">
        <v>111</v>
      </c>
      <c r="G3" s="136" t="s">
        <v>112</v>
      </c>
      <c r="H3" s="136" t="s">
        <v>113</v>
      </c>
      <c r="I3" s="136" t="s">
        <v>114</v>
      </c>
      <c r="J3" s="136" t="s">
        <v>115</v>
      </c>
      <c r="K3" s="136" t="s">
        <v>116</v>
      </c>
      <c r="L3" s="136" t="s">
        <v>117</v>
      </c>
      <c r="N3" s="21" t="s">
        <v>156</v>
      </c>
    </row>
    <row r="4" spans="1:14" x14ac:dyDescent="0.3">
      <c r="B4" s="17" t="s">
        <v>151</v>
      </c>
      <c r="C4" s="17"/>
      <c r="D4" s="20">
        <f>'Income Statement'!D10</f>
        <v>19096365</v>
      </c>
      <c r="E4" s="20">
        <f>'Income Statement'!E10</f>
        <v>22099478</v>
      </c>
      <c r="F4" s="20">
        <f>'Income Statement'!F10</f>
        <v>34031917</v>
      </c>
      <c r="G4" s="20">
        <f>'Income Statement'!G10</f>
        <v>39591813</v>
      </c>
      <c r="H4" s="20">
        <f>'Income Statement'!H10</f>
        <v>43550994.300000004</v>
      </c>
      <c r="I4" s="20">
        <f>'Income Statement'!I10</f>
        <v>47906093.730000012</v>
      </c>
      <c r="J4" s="20">
        <f>'Income Statement'!J10</f>
        <v>52696703.103000015</v>
      </c>
      <c r="K4" s="20">
        <f>'Income Statement'!K10</f>
        <v>57966373.413300022</v>
      </c>
      <c r="L4" s="20">
        <f>'Income Statement'!L10</f>
        <v>63763010.754630029</v>
      </c>
    </row>
    <row r="5" spans="1:14" x14ac:dyDescent="0.3">
      <c r="B5" s="17" t="s">
        <v>180</v>
      </c>
      <c r="C5" s="17"/>
      <c r="D5" s="18">
        <f>-'Cash Flow Statement'!D29</f>
        <v>12710134</v>
      </c>
      <c r="E5" s="18">
        <f>-'Cash Flow Statement'!E29</f>
        <v>6789643</v>
      </c>
      <c r="F5" s="18">
        <f>-'Cash Flow Statement'!F29</f>
        <v>1261136</v>
      </c>
      <c r="G5" s="18">
        <f>-'Cash Flow Statement'!G29</f>
        <v>1188837</v>
      </c>
      <c r="H5" s="18">
        <f>SUM(H16:H19)</f>
        <v>1372885.7847857897</v>
      </c>
      <c r="I5" s="18">
        <f t="shared" ref="I5:K5" si="0">SUM(I16:I19)</f>
        <v>1510174.3632643688</v>
      </c>
      <c r="J5" s="18">
        <f t="shared" si="0"/>
        <v>1661191.7995908058</v>
      </c>
      <c r="K5" s="18">
        <f t="shared" si="0"/>
        <v>1827310.9795498867</v>
      </c>
      <c r="L5" s="18">
        <f>SUM(L16:L19)</f>
        <v>2010042.0775048756</v>
      </c>
      <c r="N5" s="10" t="s">
        <v>265</v>
      </c>
    </row>
    <row r="6" spans="1:14" x14ac:dyDescent="0.3">
      <c r="B6" s="17" t="s">
        <v>155</v>
      </c>
      <c r="C6" s="17"/>
      <c r="D6" s="37">
        <f>D5/D4</f>
        <v>0.66557871092220955</v>
      </c>
      <c r="E6" s="37">
        <f t="shared" ref="E6:L6" si="1">E5/E4</f>
        <v>0.30723092192494322</v>
      </c>
      <c r="F6" s="37">
        <f t="shared" si="1"/>
        <v>3.7057448159620275E-2</v>
      </c>
      <c r="G6" s="37">
        <f t="shared" si="1"/>
        <v>3.0027344289588354E-2</v>
      </c>
      <c r="H6" s="37">
        <f t="shared" si="1"/>
        <v>3.1523638136220222E-2</v>
      </c>
      <c r="I6" s="37">
        <f t="shared" si="1"/>
        <v>3.1523638136220222E-2</v>
      </c>
      <c r="J6" s="37">
        <f t="shared" si="1"/>
        <v>3.1523638136220222E-2</v>
      </c>
      <c r="K6" s="37">
        <f t="shared" si="1"/>
        <v>3.1523638136220222E-2</v>
      </c>
      <c r="L6" s="37">
        <f t="shared" si="1"/>
        <v>3.1523638136220229E-2</v>
      </c>
      <c r="N6" t="s">
        <v>184</v>
      </c>
    </row>
    <row r="7" spans="1:14" x14ac:dyDescent="0.3">
      <c r="A7" s="23"/>
      <c r="B7" s="23"/>
      <c r="C7" s="23"/>
      <c r="D7" s="23"/>
      <c r="E7" s="23"/>
      <c r="F7" s="23"/>
      <c r="G7" s="23"/>
      <c r="H7" s="23"/>
    </row>
    <row r="8" spans="1:14" x14ac:dyDescent="0.3">
      <c r="A8" s="23"/>
      <c r="B8" s="24" t="s">
        <v>157</v>
      </c>
      <c r="C8" s="24"/>
      <c r="D8" s="23"/>
      <c r="E8" s="23"/>
      <c r="F8" s="23"/>
      <c r="G8" s="23"/>
      <c r="H8" s="23"/>
    </row>
    <row r="9" spans="1:14" x14ac:dyDescent="0.3">
      <c r="A9" s="23"/>
      <c r="B9" s="23" t="s">
        <v>172</v>
      </c>
      <c r="C9" s="23"/>
      <c r="D9" s="25">
        <v>9611197</v>
      </c>
      <c r="E9" s="25">
        <v>10310836</v>
      </c>
      <c r="F9" s="25">
        <v>38243176</v>
      </c>
      <c r="G9" s="25">
        <v>38215555</v>
      </c>
      <c r="H9" s="25">
        <f t="shared" ref="H9:L12" si="2">G9+H16</f>
        <v>39090723.799999997</v>
      </c>
      <c r="I9" s="25">
        <f t="shared" si="2"/>
        <v>40053409.479999997</v>
      </c>
      <c r="J9" s="25">
        <f t="shared" si="2"/>
        <v>41112363.728</v>
      </c>
      <c r="K9" s="25">
        <f t="shared" si="2"/>
        <v>42277213.400799997</v>
      </c>
      <c r="L9" s="25">
        <f t="shared" si="2"/>
        <v>43558548.040879995</v>
      </c>
    </row>
    <row r="10" spans="1:14" x14ac:dyDescent="0.3">
      <c r="A10" s="23"/>
      <c r="B10" s="23" t="s">
        <v>173</v>
      </c>
      <c r="C10" s="23"/>
      <c r="D10" s="25">
        <v>2570255</v>
      </c>
      <c r="E10" s="25">
        <v>2835083</v>
      </c>
      <c r="F10" s="25">
        <v>5623529</v>
      </c>
      <c r="G10" s="25">
        <v>5788545</v>
      </c>
      <c r="H10" s="25">
        <f t="shared" si="2"/>
        <v>6134207.2814673474</v>
      </c>
      <c r="I10" s="25">
        <f t="shared" si="2"/>
        <v>6514435.7910814295</v>
      </c>
      <c r="J10" s="25">
        <f t="shared" si="2"/>
        <v>6932687.1516569201</v>
      </c>
      <c r="K10" s="25">
        <f t="shared" si="2"/>
        <v>7392763.6482899599</v>
      </c>
      <c r="L10" s="25">
        <f t="shared" si="2"/>
        <v>7898847.7945863027</v>
      </c>
    </row>
    <row r="11" spans="1:14" x14ac:dyDescent="0.3">
      <c r="A11" s="23"/>
      <c r="B11" s="23" t="s">
        <v>174</v>
      </c>
      <c r="C11" s="23"/>
      <c r="D11" s="25">
        <v>76446</v>
      </c>
      <c r="E11" s="25">
        <v>81545</v>
      </c>
      <c r="F11" s="25">
        <v>27352</v>
      </c>
      <c r="G11" s="25">
        <v>27100</v>
      </c>
      <c r="H11" s="25">
        <f t="shared" si="2"/>
        <v>31612.03616059768</v>
      </c>
      <c r="I11" s="25">
        <f t="shared" si="2"/>
        <v>36575.27593725513</v>
      </c>
      <c r="J11" s="25">
        <f t="shared" si="2"/>
        <v>42034.839691578323</v>
      </c>
      <c r="K11" s="25">
        <f t="shared" si="2"/>
        <v>48040.359821333841</v>
      </c>
      <c r="L11" s="25">
        <f t="shared" si="2"/>
        <v>54646.431964064905</v>
      </c>
    </row>
    <row r="12" spans="1:14" x14ac:dyDescent="0.3">
      <c r="A12" s="23"/>
      <c r="B12" s="23" t="s">
        <v>175</v>
      </c>
      <c r="C12" s="23"/>
      <c r="D12" s="25">
        <v>12890783</v>
      </c>
      <c r="E12" s="25">
        <v>24621753</v>
      </c>
      <c r="F12" s="25">
        <v>62871</v>
      </c>
      <c r="G12" s="25">
        <v>183720</v>
      </c>
      <c r="H12" s="25">
        <f t="shared" si="2"/>
        <v>331262.66715784476</v>
      </c>
      <c r="I12" s="25">
        <f t="shared" si="2"/>
        <v>493559.60103147407</v>
      </c>
      <c r="J12" s="25">
        <f t="shared" si="2"/>
        <v>672086.22829246637</v>
      </c>
      <c r="K12" s="25">
        <f t="shared" si="2"/>
        <v>868465.51827955781</v>
      </c>
      <c r="L12" s="25">
        <f t="shared" si="2"/>
        <v>1084482.7372653584</v>
      </c>
    </row>
    <row r="13" spans="1:14" x14ac:dyDescent="0.3">
      <c r="A13" s="23"/>
      <c r="B13" s="23" t="s">
        <v>158</v>
      </c>
      <c r="C13" s="23"/>
      <c r="D13" s="25">
        <f>SUM(D9:D12)</f>
        <v>25148681</v>
      </c>
      <c r="E13" s="25">
        <f t="shared" ref="E13:G13" si="3">SUM(E9:E12)</f>
        <v>37849217</v>
      </c>
      <c r="F13" s="25">
        <f t="shared" si="3"/>
        <v>43956928</v>
      </c>
      <c r="G13" s="25">
        <f t="shared" si="3"/>
        <v>44214920</v>
      </c>
      <c r="H13" s="23"/>
    </row>
    <row r="14" spans="1:14" x14ac:dyDescent="0.3">
      <c r="A14" s="23"/>
      <c r="B14" s="23"/>
      <c r="C14" s="23"/>
      <c r="D14" s="23"/>
      <c r="E14" s="23"/>
      <c r="F14" s="23"/>
      <c r="G14" s="23"/>
      <c r="H14" s="23"/>
    </row>
    <row r="15" spans="1:14" x14ac:dyDescent="0.3">
      <c r="A15" s="23"/>
      <c r="B15" s="24" t="s">
        <v>159</v>
      </c>
      <c r="C15" s="24"/>
      <c r="D15" s="23"/>
      <c r="E15" s="23"/>
      <c r="F15" s="23"/>
      <c r="G15" s="23"/>
      <c r="H15" s="23"/>
    </row>
    <row r="16" spans="1:14" x14ac:dyDescent="0.3">
      <c r="A16" s="23"/>
      <c r="B16" s="23" t="s">
        <v>172</v>
      </c>
      <c r="C16" s="23"/>
      <c r="D16" s="23">
        <f>21039+712475</f>
        <v>733514</v>
      </c>
      <c r="E16" s="23">
        <f>2844954+25156182</f>
        <v>28001136</v>
      </c>
      <c r="F16" s="23">
        <f>87324+149429</f>
        <v>236753</v>
      </c>
      <c r="G16" s="23">
        <f>251751+543857</f>
        <v>795608</v>
      </c>
      <c r="H16" s="30">
        <f>H25*H4</f>
        <v>875168.8</v>
      </c>
      <c r="I16" s="30">
        <f>I25*I4</f>
        <v>962685.68000000017</v>
      </c>
      <c r="J16" s="30">
        <f>J25*J4</f>
        <v>1058954.2480000001</v>
      </c>
      <c r="K16" s="30">
        <f>K25*K4</f>
        <v>1164849.6728000003</v>
      </c>
      <c r="L16" s="30">
        <f>L25*L4</f>
        <v>1281334.6400800005</v>
      </c>
    </row>
    <row r="17" spans="1:12" x14ac:dyDescent="0.3">
      <c r="A17" s="23"/>
      <c r="B17" s="23" t="s">
        <v>173</v>
      </c>
      <c r="C17" s="23"/>
      <c r="D17" s="25">
        <f>142938+189177</f>
        <v>332115</v>
      </c>
      <c r="E17" s="23">
        <f>354286+2513448</f>
        <v>2867734</v>
      </c>
      <c r="F17" s="23">
        <f>133224+114460</f>
        <v>247684</v>
      </c>
      <c r="G17" s="23">
        <f>199297+141031</f>
        <v>340328</v>
      </c>
      <c r="H17" s="30">
        <f>H26*H4</f>
        <v>345662.28146734729</v>
      </c>
      <c r="I17" s="30">
        <f>I26*I4</f>
        <v>380228.50961408205</v>
      </c>
      <c r="J17" s="30">
        <f>J26*J4</f>
        <v>418251.36057549028</v>
      </c>
      <c r="K17" s="30">
        <f>K26*K4</f>
        <v>460076.49663303932</v>
      </c>
      <c r="L17" s="30">
        <f>L26*L4</f>
        <v>506084.1462963433</v>
      </c>
    </row>
    <row r="18" spans="1:12" x14ac:dyDescent="0.3">
      <c r="A18" s="23"/>
      <c r="B18" s="23" t="s">
        <v>174</v>
      </c>
      <c r="C18" s="23"/>
      <c r="D18" s="23">
        <f>4169+930</f>
        <v>5099</v>
      </c>
      <c r="E18" s="23">
        <f>1051</f>
        <v>1051</v>
      </c>
      <c r="F18" s="23">
        <f>893+392</f>
        <v>1285</v>
      </c>
      <c r="G18" s="23">
        <f>2458</f>
        <v>2458</v>
      </c>
      <c r="H18" s="30">
        <f>H27*H4</f>
        <v>4512.0361605976805</v>
      </c>
      <c r="I18" s="30">
        <f>I27*I4</f>
        <v>4963.2397766574495</v>
      </c>
      <c r="J18" s="30">
        <f>J27*J4</f>
        <v>5459.5637543231951</v>
      </c>
      <c r="K18" s="30">
        <f>K27*K4</f>
        <v>6005.520129755515</v>
      </c>
      <c r="L18" s="30">
        <f>L27*L4</f>
        <v>6606.0721427310664</v>
      </c>
    </row>
    <row r="19" spans="1:12" x14ac:dyDescent="0.3">
      <c r="A19" s="23"/>
      <c r="B19" s="23" t="s">
        <v>178</v>
      </c>
      <c r="C19" s="23"/>
      <c r="D19" s="23">
        <f>12637222-902582</f>
        <v>11734640</v>
      </c>
      <c r="E19">
        <f>3116917-27670681</f>
        <v>-24553764</v>
      </c>
      <c r="F19" s="23">
        <f>392842-264281</f>
        <v>128561</v>
      </c>
      <c r="G19" s="23">
        <f>803583-684888</f>
        <v>118695</v>
      </c>
      <c r="H19" s="30">
        <f>H28*H4</f>
        <v>147542.66715784479</v>
      </c>
      <c r="I19" s="30">
        <f>I28*I4</f>
        <v>162296.93387362931</v>
      </c>
      <c r="J19" s="30">
        <f>J28*J4</f>
        <v>178526.62726099225</v>
      </c>
      <c r="K19" s="30">
        <f>K28*K4</f>
        <v>196379.28998709147</v>
      </c>
      <c r="L19" s="30">
        <f>L28*L4</f>
        <v>216017.21898580063</v>
      </c>
    </row>
    <row r="20" spans="1:12" x14ac:dyDescent="0.3">
      <c r="A20" s="23"/>
      <c r="B20" s="23" t="s">
        <v>176</v>
      </c>
      <c r="C20" s="23"/>
      <c r="D20" s="23">
        <f>SUM(D16:D19)</f>
        <v>12805368</v>
      </c>
      <c r="E20" s="23">
        <f>SUM(E16:E19)</f>
        <v>6316157</v>
      </c>
      <c r="F20" s="23">
        <f>SUM(F16:F19)</f>
        <v>614283</v>
      </c>
      <c r="G20" s="23">
        <f>SUM(G16:G19)</f>
        <v>1257089</v>
      </c>
      <c r="H20" s="23"/>
    </row>
    <row r="21" spans="1:12" x14ac:dyDescent="0.3">
      <c r="A21" s="23"/>
      <c r="B21" s="23" t="s">
        <v>177</v>
      </c>
      <c r="C21" s="23"/>
      <c r="D21" s="25">
        <v>12710134</v>
      </c>
      <c r="E21" s="25">
        <v>6789643</v>
      </c>
      <c r="F21" s="25">
        <v>1261136</v>
      </c>
      <c r="G21" s="25">
        <v>1188837</v>
      </c>
      <c r="H21" s="23"/>
    </row>
    <row r="22" spans="1:12" x14ac:dyDescent="0.3">
      <c r="A22" s="23"/>
      <c r="B22" s="23" t="s">
        <v>179</v>
      </c>
      <c r="C22" s="23"/>
      <c r="D22" s="25"/>
      <c r="E22" s="25"/>
      <c r="F22" s="25"/>
      <c r="G22" s="25"/>
      <c r="H22" s="23"/>
    </row>
    <row r="23" spans="1:12" x14ac:dyDescent="0.3">
      <c r="A23" s="23"/>
      <c r="D23" s="23"/>
      <c r="E23" s="23"/>
      <c r="F23" s="23"/>
      <c r="G23" s="23"/>
      <c r="H23" s="23"/>
    </row>
    <row r="24" spans="1:12" x14ac:dyDescent="0.3">
      <c r="A24" s="23"/>
      <c r="B24" s="24" t="s">
        <v>160</v>
      </c>
      <c r="C24" s="24"/>
      <c r="D24" s="23"/>
      <c r="E24" s="23"/>
      <c r="F24" s="23"/>
      <c r="G24" s="23"/>
      <c r="H24" s="23"/>
    </row>
    <row r="25" spans="1:12" x14ac:dyDescent="0.3">
      <c r="A25" s="23"/>
      <c r="B25" s="23" t="s">
        <v>172</v>
      </c>
      <c r="C25" s="23"/>
      <c r="D25" s="27">
        <f>D16/D4</f>
        <v>3.8411184536952449E-2</v>
      </c>
      <c r="E25" s="27">
        <f>E16/E4</f>
        <v>1.2670496561049993</v>
      </c>
      <c r="F25" s="27">
        <f>F16/F4</f>
        <v>6.9567929423429188E-3</v>
      </c>
      <c r="G25" s="27">
        <f>G16/G4</f>
        <v>2.009526565504843E-2</v>
      </c>
      <c r="H25" s="28">
        <f>G25</f>
        <v>2.009526565504843E-2</v>
      </c>
      <c r="I25" s="28">
        <f t="shared" ref="I25:L25" si="4">H25</f>
        <v>2.009526565504843E-2</v>
      </c>
      <c r="J25" s="28">
        <f t="shared" si="4"/>
        <v>2.009526565504843E-2</v>
      </c>
      <c r="K25" s="28">
        <f t="shared" si="4"/>
        <v>2.009526565504843E-2</v>
      </c>
      <c r="L25" s="28">
        <f t="shared" si="4"/>
        <v>2.009526565504843E-2</v>
      </c>
    </row>
    <row r="26" spans="1:12" x14ac:dyDescent="0.3">
      <c r="A26" s="23"/>
      <c r="B26" s="23" t="s">
        <v>173</v>
      </c>
      <c r="C26" s="23"/>
      <c r="D26" s="27">
        <f>D17/D4</f>
        <v>1.739152974924809E-2</v>
      </c>
      <c r="E26" s="27">
        <f>E17/E4</f>
        <v>0.12976478448947978</v>
      </c>
      <c r="F26" s="27">
        <f>F17/F4</f>
        <v>7.2779914219936537E-3</v>
      </c>
      <c r="G26" s="27">
        <f>G17/G4</f>
        <v>8.5959185551821027E-3</v>
      </c>
      <c r="H26" s="28">
        <f>AVERAGE(F26:G26)</f>
        <v>7.9369549885878778E-3</v>
      </c>
      <c r="I26" s="29">
        <f>H26</f>
        <v>7.9369549885878778E-3</v>
      </c>
      <c r="J26" s="29">
        <f t="shared" ref="J26:L26" si="5">I26</f>
        <v>7.9369549885878778E-3</v>
      </c>
      <c r="K26" s="29">
        <f t="shared" si="5"/>
        <v>7.9369549885878778E-3</v>
      </c>
      <c r="L26" s="29">
        <f t="shared" si="5"/>
        <v>7.9369549885878778E-3</v>
      </c>
    </row>
    <row r="27" spans="1:12" x14ac:dyDescent="0.3">
      <c r="A27" s="23"/>
      <c r="B27" s="23" t="s">
        <v>174</v>
      </c>
      <c r="C27" s="23"/>
      <c r="D27" s="27">
        <f>D18/D4</f>
        <v>2.6701416735593395E-4</v>
      </c>
      <c r="E27" s="27">
        <f>E18/E4</f>
        <v>4.7557684394174382E-5</v>
      </c>
      <c r="F27" s="27">
        <f>F18/F4</f>
        <v>3.7758672248759894E-5</v>
      </c>
      <c r="G27" s="27">
        <f>G18/G4</f>
        <v>6.2083542372762772E-5</v>
      </c>
      <c r="H27" s="28">
        <f>AVERAGE(D27:G27)</f>
        <v>1.0360351659290774E-4</v>
      </c>
      <c r="I27" s="29">
        <f>H27</f>
        <v>1.0360351659290774E-4</v>
      </c>
      <c r="J27" s="29">
        <f t="shared" ref="J27:L27" si="6">I27</f>
        <v>1.0360351659290774E-4</v>
      </c>
      <c r="K27" s="29">
        <f t="shared" si="6"/>
        <v>1.0360351659290774E-4</v>
      </c>
      <c r="L27" s="29">
        <f t="shared" si="6"/>
        <v>1.0360351659290774E-4</v>
      </c>
    </row>
    <row r="28" spans="1:12" x14ac:dyDescent="0.3">
      <c r="A28" s="23"/>
      <c r="B28" s="23" t="s">
        <v>175</v>
      </c>
      <c r="C28" s="23"/>
      <c r="D28" s="27">
        <f>D19/D4</f>
        <v>0.61449600486794209</v>
      </c>
      <c r="E28" s="27">
        <f>E19/E4</f>
        <v>-1.1110562882978503</v>
      </c>
      <c r="F28" s="27">
        <f>F19/F4</f>
        <v>3.7776596599010275E-3</v>
      </c>
      <c r="G28" s="27">
        <f>G19/G4</f>
        <v>2.9979682920809915E-3</v>
      </c>
      <c r="H28" s="28">
        <f>AVERAGE(F28:G28)</f>
        <v>3.3878139759910093E-3</v>
      </c>
      <c r="I28" s="29">
        <f>H28</f>
        <v>3.3878139759910093E-3</v>
      </c>
      <c r="J28" s="29">
        <f t="shared" ref="J28:L28" si="7">I28</f>
        <v>3.3878139759910093E-3</v>
      </c>
      <c r="K28" s="29">
        <f t="shared" si="7"/>
        <v>3.3878139759910093E-3</v>
      </c>
      <c r="L28" s="29">
        <f t="shared" si="7"/>
        <v>3.3878139759910093E-3</v>
      </c>
    </row>
    <row r="29" spans="1:12" x14ac:dyDescent="0.3">
      <c r="A29" s="23"/>
      <c r="B29" s="23"/>
      <c r="C29" s="23"/>
      <c r="D29" s="23"/>
      <c r="E29" s="23"/>
      <c r="F29" s="23"/>
      <c r="G29" s="23"/>
      <c r="H29" s="23"/>
    </row>
    <row r="30" spans="1:12" x14ac:dyDescent="0.3">
      <c r="A30" s="23"/>
      <c r="B30" s="24" t="s">
        <v>161</v>
      </c>
      <c r="C30" s="24"/>
      <c r="D30" s="23"/>
      <c r="E30" s="23"/>
      <c r="F30" s="23"/>
      <c r="G30" s="23"/>
      <c r="H30" s="23"/>
    </row>
    <row r="31" spans="1:12" x14ac:dyDescent="0.3">
      <c r="A31" s="23"/>
      <c r="B31" s="23" t="s">
        <v>172</v>
      </c>
      <c r="C31" s="23"/>
      <c r="D31" s="23" t="s">
        <v>152</v>
      </c>
      <c r="E31" s="23">
        <v>25</v>
      </c>
      <c r="G31" s="23"/>
      <c r="H31" s="23"/>
    </row>
    <row r="32" spans="1:12" x14ac:dyDescent="0.3">
      <c r="A32" s="23"/>
      <c r="B32" s="23" t="s">
        <v>173</v>
      </c>
      <c r="C32" s="23"/>
      <c r="D32" s="23" t="s">
        <v>153</v>
      </c>
      <c r="E32" s="23">
        <v>5</v>
      </c>
      <c r="G32" s="23"/>
      <c r="H32" s="23"/>
    </row>
    <row r="33" spans="1:12" x14ac:dyDescent="0.3">
      <c r="A33" s="23"/>
      <c r="B33" s="23" t="s">
        <v>174</v>
      </c>
      <c r="C33" s="23"/>
      <c r="D33" s="23" t="s">
        <v>154</v>
      </c>
      <c r="E33" s="23">
        <v>5</v>
      </c>
      <c r="G33" s="23"/>
      <c r="H33" s="23"/>
    </row>
    <row r="34" spans="1:12" x14ac:dyDescent="0.3">
      <c r="A34" s="23"/>
      <c r="B34" s="23" t="s">
        <v>175</v>
      </c>
      <c r="C34" s="23"/>
      <c r="D34" s="23" t="s">
        <v>90</v>
      </c>
      <c r="E34" s="23">
        <v>5</v>
      </c>
      <c r="G34" s="23"/>
      <c r="H34" s="23"/>
    </row>
    <row r="35" spans="1:12" x14ac:dyDescent="0.3">
      <c r="A35" s="23"/>
      <c r="B35" s="23" t="s">
        <v>162</v>
      </c>
      <c r="C35" s="23"/>
      <c r="D35" s="23"/>
      <c r="E35" s="23"/>
      <c r="F35" s="23"/>
      <c r="G35" s="23"/>
      <c r="H35" s="23"/>
    </row>
    <row r="36" spans="1:12" x14ac:dyDescent="0.3">
      <c r="A36" s="23"/>
      <c r="B36" s="23"/>
      <c r="C36" s="23"/>
      <c r="D36" s="23"/>
      <c r="E36" s="23"/>
      <c r="F36" s="23"/>
      <c r="G36" s="23"/>
      <c r="H36" s="23"/>
    </row>
    <row r="37" spans="1:12" x14ac:dyDescent="0.3">
      <c r="A37" s="23"/>
      <c r="B37" s="24" t="s">
        <v>163</v>
      </c>
      <c r="C37" s="24"/>
      <c r="D37" s="23"/>
      <c r="E37" s="23"/>
      <c r="F37" s="23"/>
      <c r="G37" s="23"/>
      <c r="H37" s="23"/>
    </row>
    <row r="38" spans="1:12" x14ac:dyDescent="0.3">
      <c r="A38" s="23"/>
      <c r="B38" s="26" t="s">
        <v>172</v>
      </c>
      <c r="C38" s="26"/>
      <c r="D38" s="23"/>
      <c r="E38" s="23"/>
      <c r="F38" s="23"/>
      <c r="G38" s="23"/>
      <c r="H38" s="23"/>
    </row>
    <row r="39" spans="1:12" x14ac:dyDescent="0.3">
      <c r="A39" s="23"/>
      <c r="B39" s="23" t="s">
        <v>164</v>
      </c>
      <c r="C39" s="23"/>
      <c r="D39" s="31"/>
      <c r="E39" s="31"/>
      <c r="F39" s="31"/>
      <c r="G39" s="31"/>
      <c r="H39" s="32">
        <f>G9/E31</f>
        <v>1528622.2</v>
      </c>
      <c r="I39" s="32">
        <f>H39</f>
        <v>1528622.2</v>
      </c>
      <c r="J39" s="32">
        <f t="shared" ref="J39:L39" si="8">I39</f>
        <v>1528622.2</v>
      </c>
      <c r="K39" s="32">
        <f t="shared" si="8"/>
        <v>1528622.2</v>
      </c>
      <c r="L39" s="32">
        <f t="shared" si="8"/>
        <v>1528622.2</v>
      </c>
    </row>
    <row r="40" spans="1:12" x14ac:dyDescent="0.3">
      <c r="A40" s="23"/>
      <c r="B40" s="23" t="s">
        <v>165</v>
      </c>
      <c r="C40" s="23"/>
      <c r="D40" s="31"/>
      <c r="E40" s="31"/>
      <c r="F40" s="31"/>
      <c r="G40" s="31"/>
      <c r="H40" s="33"/>
      <c r="I40" s="32">
        <f>H16/E31</f>
        <v>35006.752</v>
      </c>
      <c r="J40" s="32">
        <f>I40</f>
        <v>35006.752</v>
      </c>
      <c r="K40" s="32">
        <f t="shared" ref="K40:L40" si="9">J40</f>
        <v>35006.752</v>
      </c>
      <c r="L40" s="32">
        <f t="shared" si="9"/>
        <v>35006.752</v>
      </c>
    </row>
    <row r="41" spans="1:12" x14ac:dyDescent="0.3">
      <c r="A41" s="23"/>
      <c r="B41" s="23" t="s">
        <v>166</v>
      </c>
      <c r="C41" s="23"/>
      <c r="D41" s="31"/>
      <c r="E41" s="31"/>
      <c r="F41" s="31"/>
      <c r="G41" s="31"/>
      <c r="H41" s="33"/>
      <c r="I41" s="33"/>
      <c r="J41" s="32">
        <f>I16/E31</f>
        <v>38507.427200000006</v>
      </c>
      <c r="K41" s="32">
        <f>J41</f>
        <v>38507.427200000006</v>
      </c>
      <c r="L41" s="32">
        <f>K41</f>
        <v>38507.427200000006</v>
      </c>
    </row>
    <row r="42" spans="1:12" x14ac:dyDescent="0.3">
      <c r="A42" s="23"/>
      <c r="B42" s="23" t="s">
        <v>167</v>
      </c>
      <c r="C42" s="23"/>
      <c r="D42" s="31"/>
      <c r="E42" s="31"/>
      <c r="F42" s="31"/>
      <c r="G42" s="31"/>
      <c r="H42" s="33"/>
      <c r="I42" s="33"/>
      <c r="J42" s="33"/>
      <c r="K42" s="32">
        <f>J16/E31</f>
        <v>42358.169920000008</v>
      </c>
      <c r="L42" s="11">
        <f>K42</f>
        <v>42358.169920000008</v>
      </c>
    </row>
    <row r="43" spans="1:12" x14ac:dyDescent="0.3">
      <c r="A43" s="23"/>
      <c r="B43" s="23" t="s">
        <v>168</v>
      </c>
      <c r="C43" s="23"/>
      <c r="D43" s="31"/>
      <c r="E43" s="31"/>
      <c r="F43" s="31"/>
      <c r="G43" s="31"/>
      <c r="H43" s="34"/>
      <c r="I43" s="34"/>
      <c r="J43" s="34"/>
      <c r="K43" s="34"/>
      <c r="L43" s="11">
        <f>K16/E31</f>
        <v>46593.986912000015</v>
      </c>
    </row>
    <row r="44" spans="1:12" x14ac:dyDescent="0.3">
      <c r="A44" s="23"/>
      <c r="B44" s="23"/>
      <c r="C44" s="23"/>
      <c r="D44" s="23"/>
      <c r="E44" s="23"/>
      <c r="F44" s="23"/>
      <c r="G44" s="23"/>
      <c r="H44" s="23"/>
    </row>
    <row r="45" spans="1:12" x14ac:dyDescent="0.3">
      <c r="A45" s="23"/>
      <c r="B45" s="26" t="s">
        <v>173</v>
      </c>
      <c r="C45" s="26"/>
      <c r="D45" s="23"/>
      <c r="E45" s="23"/>
      <c r="F45" s="23"/>
      <c r="G45" s="23"/>
      <c r="H45" s="23"/>
    </row>
    <row r="46" spans="1:12" x14ac:dyDescent="0.3">
      <c r="A46" s="23"/>
      <c r="B46" s="23" t="s">
        <v>164</v>
      </c>
      <c r="C46" s="23"/>
      <c r="D46" s="31"/>
      <c r="E46" s="31"/>
      <c r="F46" s="31"/>
      <c r="G46" s="31"/>
      <c r="H46" s="32">
        <f>G10/E32</f>
        <v>1157709</v>
      </c>
      <c r="I46" s="32">
        <f>H46</f>
        <v>1157709</v>
      </c>
      <c r="J46" s="32">
        <f t="shared" ref="J46:L47" si="10">I46</f>
        <v>1157709</v>
      </c>
      <c r="K46" s="32">
        <f t="shared" si="10"/>
        <v>1157709</v>
      </c>
      <c r="L46" s="32">
        <f t="shared" si="10"/>
        <v>1157709</v>
      </c>
    </row>
    <row r="47" spans="1:12" x14ac:dyDescent="0.3">
      <c r="A47" s="23"/>
      <c r="B47" s="23" t="s">
        <v>165</v>
      </c>
      <c r="C47" s="23"/>
      <c r="D47" s="31"/>
      <c r="E47" s="31"/>
      <c r="F47" s="31"/>
      <c r="G47" s="31"/>
      <c r="H47" s="33"/>
      <c r="I47" s="32">
        <f>H17/E32</f>
        <v>69132.456293469455</v>
      </c>
      <c r="J47" s="32">
        <f>I47</f>
        <v>69132.456293469455</v>
      </c>
      <c r="K47" s="32">
        <f t="shared" si="10"/>
        <v>69132.456293469455</v>
      </c>
      <c r="L47" s="32">
        <f t="shared" si="10"/>
        <v>69132.456293469455</v>
      </c>
    </row>
    <row r="48" spans="1:12" x14ac:dyDescent="0.3">
      <c r="A48" s="23"/>
      <c r="B48" s="23" t="s">
        <v>166</v>
      </c>
      <c r="C48" s="23"/>
      <c r="D48" s="31"/>
      <c r="E48" s="31"/>
      <c r="F48" s="31"/>
      <c r="G48" s="31"/>
      <c r="H48" s="33"/>
      <c r="I48" s="33"/>
      <c r="J48" s="32">
        <f>I17/E32</f>
        <v>76045.701922816414</v>
      </c>
      <c r="K48" s="32">
        <f>J48</f>
        <v>76045.701922816414</v>
      </c>
      <c r="L48" s="32">
        <f>K48</f>
        <v>76045.701922816414</v>
      </c>
    </row>
    <row r="49" spans="1:12" x14ac:dyDescent="0.3">
      <c r="A49" s="23"/>
      <c r="B49" s="23" t="s">
        <v>167</v>
      </c>
      <c r="C49" s="23"/>
      <c r="D49" s="31"/>
      <c r="E49" s="31"/>
      <c r="F49" s="31"/>
      <c r="G49" s="31"/>
      <c r="H49" s="33"/>
      <c r="I49" s="33"/>
      <c r="J49" s="33"/>
      <c r="K49" s="32">
        <f>J17/E32</f>
        <v>83650.272115098051</v>
      </c>
      <c r="L49" s="11">
        <f>K49</f>
        <v>83650.272115098051</v>
      </c>
    </row>
    <row r="50" spans="1:12" x14ac:dyDescent="0.3">
      <c r="A50" s="23"/>
      <c r="B50" s="23" t="s">
        <v>168</v>
      </c>
      <c r="C50" s="23"/>
      <c r="D50" s="31"/>
      <c r="E50" s="31"/>
      <c r="F50" s="31"/>
      <c r="G50" s="31"/>
      <c r="H50" s="34"/>
      <c r="I50" s="34"/>
      <c r="J50" s="34"/>
      <c r="K50" s="34"/>
      <c r="L50" s="11">
        <f>K17/E32</f>
        <v>92015.29932660787</v>
      </c>
    </row>
    <row r="51" spans="1:12" x14ac:dyDescent="0.3">
      <c r="A51" s="23"/>
      <c r="B51" s="23"/>
      <c r="C51" s="23"/>
      <c r="D51" s="23"/>
      <c r="E51" s="23"/>
      <c r="F51" s="23"/>
      <c r="G51" s="23"/>
      <c r="H51" s="23"/>
    </row>
    <row r="52" spans="1:12" x14ac:dyDescent="0.3">
      <c r="A52" s="23"/>
      <c r="B52" s="26" t="s">
        <v>174</v>
      </c>
      <c r="C52" s="26"/>
      <c r="D52" s="23"/>
      <c r="E52" s="23"/>
      <c r="F52" s="23"/>
      <c r="G52" s="23"/>
      <c r="H52" s="23"/>
    </row>
    <row r="53" spans="1:12" x14ac:dyDescent="0.3">
      <c r="A53" s="23"/>
      <c r="B53" s="23" t="s">
        <v>164</v>
      </c>
      <c r="C53" s="23"/>
      <c r="D53" s="31"/>
      <c r="E53" s="31"/>
      <c r="F53" s="31"/>
      <c r="G53" s="31"/>
      <c r="H53" s="32">
        <f>G11/E33</f>
        <v>5420</v>
      </c>
      <c r="I53" s="32">
        <f>H53</f>
        <v>5420</v>
      </c>
      <c r="J53" s="32">
        <f t="shared" ref="J53:L53" si="11">I53</f>
        <v>5420</v>
      </c>
      <c r="K53" s="32">
        <f t="shared" si="11"/>
        <v>5420</v>
      </c>
      <c r="L53" s="32">
        <f t="shared" si="11"/>
        <v>5420</v>
      </c>
    </row>
    <row r="54" spans="1:12" x14ac:dyDescent="0.3">
      <c r="A54" s="23"/>
      <c r="B54" s="23" t="s">
        <v>165</v>
      </c>
      <c r="C54" s="23"/>
      <c r="D54" s="31"/>
      <c r="E54" s="31"/>
      <c r="F54" s="31"/>
      <c r="G54" s="31"/>
      <c r="H54" s="33"/>
      <c r="I54" s="32">
        <f>H18/E33</f>
        <v>902.40723211953605</v>
      </c>
      <c r="J54" s="32">
        <f>I54</f>
        <v>902.40723211953605</v>
      </c>
      <c r="K54" s="32">
        <f t="shared" ref="K54:L54" si="12">J54</f>
        <v>902.40723211953605</v>
      </c>
      <c r="L54" s="32">
        <f t="shared" si="12"/>
        <v>902.40723211953605</v>
      </c>
    </row>
    <row r="55" spans="1:12" x14ac:dyDescent="0.3">
      <c r="A55" s="23"/>
      <c r="B55" s="23" t="s">
        <v>166</v>
      </c>
      <c r="C55" s="23"/>
      <c r="D55" s="31"/>
      <c r="E55" s="31"/>
      <c r="F55" s="31"/>
      <c r="G55" s="31"/>
      <c r="H55" s="33"/>
      <c r="I55" s="33"/>
      <c r="J55" s="32">
        <f>I18/E33</f>
        <v>992.64795533148992</v>
      </c>
      <c r="K55" s="32">
        <f>J55</f>
        <v>992.64795533148992</v>
      </c>
      <c r="L55" s="32">
        <f>K55</f>
        <v>992.64795533148992</v>
      </c>
    </row>
    <row r="56" spans="1:12" x14ac:dyDescent="0.3">
      <c r="A56" s="23"/>
      <c r="B56" s="23" t="s">
        <v>167</v>
      </c>
      <c r="C56" s="23"/>
      <c r="D56" s="31"/>
      <c r="E56" s="31"/>
      <c r="F56" s="31"/>
      <c r="G56" s="31"/>
      <c r="H56" s="33"/>
      <c r="I56" s="33"/>
      <c r="J56" s="33"/>
      <c r="K56" s="32">
        <f>J18/E33</f>
        <v>1091.9127508646391</v>
      </c>
      <c r="L56" s="11">
        <f>K56</f>
        <v>1091.9127508646391</v>
      </c>
    </row>
    <row r="57" spans="1:12" x14ac:dyDescent="0.3">
      <c r="A57" s="23"/>
      <c r="B57" s="23" t="s">
        <v>168</v>
      </c>
      <c r="C57" s="23"/>
      <c r="D57" s="31"/>
      <c r="E57" s="31"/>
      <c r="F57" s="31"/>
      <c r="G57" s="31"/>
      <c r="H57" s="34"/>
      <c r="I57" s="34"/>
      <c r="J57" s="34"/>
      <c r="K57" s="34"/>
      <c r="L57" s="11">
        <f>K18/E33</f>
        <v>1201.104025951103</v>
      </c>
    </row>
    <row r="58" spans="1:12" x14ac:dyDescent="0.3">
      <c r="A58" s="23"/>
      <c r="B58" s="23"/>
      <c r="C58" s="23"/>
      <c r="D58" s="23"/>
      <c r="E58" s="23"/>
      <c r="F58" s="23"/>
      <c r="G58" s="23"/>
      <c r="H58" s="23"/>
    </row>
    <row r="59" spans="1:12" x14ac:dyDescent="0.3">
      <c r="A59" s="23"/>
      <c r="B59" s="26" t="s">
        <v>175</v>
      </c>
      <c r="C59" s="26"/>
      <c r="D59" s="23"/>
      <c r="E59" s="23"/>
      <c r="F59" s="23"/>
      <c r="G59" s="23"/>
      <c r="H59" s="23"/>
    </row>
    <row r="60" spans="1:12" x14ac:dyDescent="0.3">
      <c r="A60" s="23"/>
      <c r="B60" s="23" t="s">
        <v>164</v>
      </c>
      <c r="C60" s="23"/>
      <c r="D60" s="31"/>
      <c r="E60" s="31"/>
      <c r="F60" s="31"/>
      <c r="G60" s="31"/>
      <c r="H60" s="32">
        <f>G12/E34</f>
        <v>36744</v>
      </c>
      <c r="I60" s="32">
        <f>H60</f>
        <v>36744</v>
      </c>
      <c r="J60" s="32">
        <f t="shared" ref="J60:L60" si="13">I60</f>
        <v>36744</v>
      </c>
      <c r="K60" s="32">
        <f t="shared" si="13"/>
        <v>36744</v>
      </c>
      <c r="L60" s="32">
        <f t="shared" si="13"/>
        <v>36744</v>
      </c>
    </row>
    <row r="61" spans="1:12" x14ac:dyDescent="0.3">
      <c r="A61" s="23"/>
      <c r="B61" s="23" t="s">
        <v>165</v>
      </c>
      <c r="C61" s="23"/>
      <c r="D61" s="31"/>
      <c r="E61" s="31"/>
      <c r="F61" s="31"/>
      <c r="G61" s="31"/>
      <c r="H61" s="33"/>
      <c r="I61" s="32">
        <f>H19/E34</f>
        <v>29508.533431568958</v>
      </c>
      <c r="J61" s="32">
        <f>I61</f>
        <v>29508.533431568958</v>
      </c>
      <c r="K61" s="32">
        <f t="shared" ref="K61:L61" si="14">J61</f>
        <v>29508.533431568958</v>
      </c>
      <c r="L61" s="32">
        <f t="shared" si="14"/>
        <v>29508.533431568958</v>
      </c>
    </row>
    <row r="62" spans="1:12" x14ac:dyDescent="0.3">
      <c r="A62" s="23"/>
      <c r="B62" s="23" t="s">
        <v>166</v>
      </c>
      <c r="C62" s="23"/>
      <c r="D62" s="31"/>
      <c r="E62" s="31"/>
      <c r="F62" s="31"/>
      <c r="G62" s="31"/>
      <c r="H62" s="33"/>
      <c r="I62" s="33"/>
      <c r="J62" s="32">
        <f>I19/E34</f>
        <v>32459.386774725863</v>
      </c>
      <c r="K62" s="32">
        <f>J62</f>
        <v>32459.386774725863</v>
      </c>
      <c r="L62" s="32">
        <f>K62</f>
        <v>32459.386774725863</v>
      </c>
    </row>
    <row r="63" spans="1:12" x14ac:dyDescent="0.3">
      <c r="A63" s="23"/>
      <c r="B63" s="23" t="s">
        <v>167</v>
      </c>
      <c r="C63" s="23"/>
      <c r="D63" s="31"/>
      <c r="E63" s="31"/>
      <c r="F63" s="31"/>
      <c r="G63" s="31"/>
      <c r="H63" s="33"/>
      <c r="I63" s="33"/>
      <c r="J63" s="33"/>
      <c r="K63" s="32">
        <f>J19/E34</f>
        <v>35705.325452198449</v>
      </c>
      <c r="L63" s="11">
        <f>K63</f>
        <v>35705.325452198449</v>
      </c>
    </row>
    <row r="64" spans="1:12" x14ac:dyDescent="0.3">
      <c r="A64" s="23"/>
      <c r="B64" s="23" t="s">
        <v>168</v>
      </c>
      <c r="C64" s="23"/>
      <c r="D64" s="31"/>
      <c r="E64" s="31"/>
      <c r="F64" s="31"/>
      <c r="G64" s="31"/>
      <c r="H64" s="34"/>
      <c r="I64" s="34"/>
      <c r="J64" s="34"/>
      <c r="K64" s="34"/>
      <c r="L64" s="11">
        <f>K19/E34</f>
        <v>39275.857997418294</v>
      </c>
    </row>
    <row r="65" spans="1:14" x14ac:dyDescent="0.3">
      <c r="A65" s="23"/>
      <c r="B65" s="23"/>
      <c r="C65" s="23"/>
      <c r="D65" s="23"/>
      <c r="E65" s="23"/>
      <c r="F65" s="23"/>
      <c r="G65" s="23"/>
      <c r="H65" s="23"/>
    </row>
    <row r="66" spans="1:14" x14ac:dyDescent="0.3">
      <c r="A66" s="23"/>
      <c r="B66" s="24" t="s">
        <v>169</v>
      </c>
      <c r="C66" s="24"/>
      <c r="D66" s="25">
        <f>'Cash Flow Statement'!D7</f>
        <v>905043</v>
      </c>
      <c r="E66" s="25">
        <f>'Cash Flow Statement'!E7</f>
        <v>1496067</v>
      </c>
      <c r="F66" s="25">
        <f>'Cash Flow Statement'!F7</f>
        <v>2680647</v>
      </c>
      <c r="G66" s="25">
        <f>'Cash Flow Statement'!G7</f>
        <v>2631084</v>
      </c>
      <c r="H66" s="35">
        <f>SUM(H39:H64)</f>
        <v>2728495.2</v>
      </c>
      <c r="I66" s="35">
        <f t="shared" ref="I66:L66" si="15">SUM(I39:I64)</f>
        <v>2863045.3489571582</v>
      </c>
      <c r="J66" s="35">
        <f t="shared" si="15"/>
        <v>3011050.5128100319</v>
      </c>
      <c r="K66" s="35">
        <f t="shared" si="15"/>
        <v>3173856.1930481927</v>
      </c>
      <c r="L66" s="35">
        <f t="shared" si="15"/>
        <v>3352942.4413101701</v>
      </c>
      <c r="N66" t="s">
        <v>183</v>
      </c>
    </row>
    <row r="67" spans="1:14" x14ac:dyDescent="0.3">
      <c r="A67" s="23"/>
      <c r="B67" s="23"/>
      <c r="C67" s="23"/>
      <c r="D67" s="181" t="s">
        <v>181</v>
      </c>
      <c r="E67" s="181"/>
      <c r="F67" s="181"/>
      <c r="G67" s="181"/>
      <c r="H67" s="23"/>
    </row>
    <row r="68" spans="1:14" x14ac:dyDescent="0.3">
      <c r="A68" s="23"/>
      <c r="D68" s="23"/>
      <c r="E68" s="23"/>
      <c r="F68" s="23"/>
      <c r="G68" s="23"/>
      <c r="H68" s="23"/>
    </row>
    <row r="69" spans="1:14" x14ac:dyDescent="0.3">
      <c r="A69" s="23"/>
      <c r="D69" s="23"/>
      <c r="E69" s="23"/>
      <c r="F69" s="23"/>
      <c r="G69" s="23"/>
      <c r="H69" s="23"/>
    </row>
    <row r="70" spans="1:14" x14ac:dyDescent="0.3">
      <c r="B70" s="24" t="s">
        <v>170</v>
      </c>
      <c r="C70" s="24"/>
      <c r="D70" s="1">
        <f>'Balance Sheet'!D6</f>
        <v>31071898</v>
      </c>
      <c r="E70" s="1">
        <f>'Balance Sheet'!E6</f>
        <v>35858056</v>
      </c>
      <c r="F70" s="1">
        <f>'Balance Sheet'!F6</f>
        <v>33504269</v>
      </c>
      <c r="G70" s="1">
        <f>'Balance Sheet'!G6</f>
        <v>31943188</v>
      </c>
      <c r="H70" s="36">
        <f>G70+H5-H66</f>
        <v>30587578.584785789</v>
      </c>
      <c r="I70" s="36">
        <f t="shared" ref="I70:L70" si="16">H70+I5-I66</f>
        <v>29234707.599092998</v>
      </c>
      <c r="J70" s="36">
        <f t="shared" si="16"/>
        <v>27884848.885873772</v>
      </c>
      <c r="K70" s="36">
        <f t="shared" si="16"/>
        <v>26538303.672375463</v>
      </c>
      <c r="L70" s="36">
        <f t="shared" si="16"/>
        <v>25195403.308570169</v>
      </c>
    </row>
    <row r="71" spans="1:14" x14ac:dyDescent="0.3">
      <c r="D71" s="181" t="s">
        <v>123</v>
      </c>
      <c r="E71" s="181"/>
      <c r="F71" s="181"/>
      <c r="G71" s="181"/>
    </row>
    <row r="72" spans="1:14" x14ac:dyDescent="0.3">
      <c r="H72" t="s">
        <v>182</v>
      </c>
    </row>
  </sheetData>
  <mergeCells count="4">
    <mergeCell ref="D67:G67"/>
    <mergeCell ref="D71:G71"/>
    <mergeCell ref="D2:G2"/>
    <mergeCell ref="H2:L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97014B-41DF-4F88-ACA0-15B4F0F71A70}">
  <dimension ref="A2:P32"/>
  <sheetViews>
    <sheetView topLeftCell="A31" zoomScaleNormal="100" workbookViewId="0">
      <selection activeCell="G7" sqref="G7"/>
    </sheetView>
  </sheetViews>
  <sheetFormatPr defaultRowHeight="14.4" x14ac:dyDescent="0.3"/>
  <cols>
    <col min="2" max="2" width="3.109375" customWidth="1"/>
    <col min="3" max="3" width="2.5546875" customWidth="1"/>
    <col min="4" max="4" width="33.33203125" customWidth="1"/>
    <col min="5" max="7" width="9.44140625" bestFit="1" customWidth="1"/>
    <col min="8" max="8" width="10.21875" bestFit="1" customWidth="1"/>
    <col min="9" max="9" width="13.88671875" bestFit="1" customWidth="1"/>
    <col min="10" max="13" width="12.77734375" bestFit="1" customWidth="1"/>
  </cols>
  <sheetData>
    <row r="2" spans="1:16" x14ac:dyDescent="0.3">
      <c r="E2" s="180" t="s">
        <v>332</v>
      </c>
      <c r="F2" s="180"/>
      <c r="G2" s="180"/>
      <c r="H2" s="180"/>
      <c r="I2" s="178" t="s">
        <v>333</v>
      </c>
      <c r="J2" s="178"/>
      <c r="K2" s="178"/>
      <c r="L2" s="178"/>
      <c r="M2" s="179"/>
    </row>
    <row r="3" spans="1:16" ht="15" thickBot="1" x14ac:dyDescent="0.35">
      <c r="B3" s="134" t="s">
        <v>331</v>
      </c>
      <c r="E3" s="136" t="s">
        <v>109</v>
      </c>
      <c r="F3" s="136" t="s">
        <v>110</v>
      </c>
      <c r="G3" s="136" t="s">
        <v>111</v>
      </c>
      <c r="H3" s="136" t="s">
        <v>112</v>
      </c>
      <c r="I3" s="136" t="s">
        <v>113</v>
      </c>
      <c r="J3" s="136" t="s">
        <v>114</v>
      </c>
      <c r="K3" s="136" t="s">
        <v>115</v>
      </c>
      <c r="L3" s="136" t="s">
        <v>116</v>
      </c>
      <c r="M3" s="136" t="s">
        <v>117</v>
      </c>
    </row>
    <row r="4" spans="1:16" x14ac:dyDescent="0.3">
      <c r="A4" s="17"/>
      <c r="B4" s="17"/>
      <c r="C4" s="17"/>
      <c r="D4" s="17"/>
      <c r="E4" s="17"/>
    </row>
    <row r="5" spans="1:16" x14ac:dyDescent="0.3">
      <c r="A5" s="17"/>
      <c r="B5" s="38" t="s">
        <v>24</v>
      </c>
      <c r="C5" s="39"/>
      <c r="D5" s="17"/>
      <c r="E5" s="17"/>
      <c r="O5" s="38" t="s">
        <v>188</v>
      </c>
      <c r="P5" s="39"/>
    </row>
    <row r="6" spans="1:16" x14ac:dyDescent="0.3">
      <c r="A6" s="17"/>
      <c r="B6" s="39">
        <v>1</v>
      </c>
      <c r="C6" s="39" t="s">
        <v>25</v>
      </c>
      <c r="D6" s="17"/>
      <c r="E6" s="18">
        <f>'Balance Sheet'!D16</f>
        <v>179825</v>
      </c>
      <c r="F6" s="18">
        <f>'Balance Sheet'!E16</f>
        <v>338023</v>
      </c>
      <c r="G6" s="18">
        <f>'Balance Sheet'!F16</f>
        <v>331644</v>
      </c>
      <c r="H6" s="18">
        <f>'Balance Sheet'!G16</f>
        <v>312625</v>
      </c>
      <c r="I6" s="12">
        <f>I7*'Income Statement'!H24/360</f>
        <v>341125.63204598933</v>
      </c>
      <c r="J6" s="12">
        <f>J7*'Income Statement'!I24/360</f>
        <v>375238.19525058835</v>
      </c>
      <c r="K6" s="12">
        <f>K7*'Income Statement'!J24/360</f>
        <v>412762.01477564714</v>
      </c>
      <c r="L6" s="12">
        <f>L7*'Income Statement'!K24/360</f>
        <v>454038.21625321184</v>
      </c>
      <c r="M6" s="12">
        <f>M7*'Income Statement'!L24/360</f>
        <v>499442.03787853313</v>
      </c>
      <c r="O6" s="39" t="s">
        <v>189</v>
      </c>
      <c r="P6" t="s">
        <v>199</v>
      </c>
    </row>
    <row r="7" spans="1:16" x14ac:dyDescent="0.3">
      <c r="A7" s="17"/>
      <c r="B7" s="39"/>
      <c r="D7" s="40" t="s">
        <v>185</v>
      </c>
      <c r="E7" s="17"/>
      <c r="F7" s="42">
        <f>AVERAGE(E6:F6)*360/'Income Statement'!E24</f>
        <v>21.89288082281643</v>
      </c>
      <c r="G7" s="42">
        <f>AVERAGE(F6:G6)*360/'Income Statement'!F24</f>
        <v>27.367658908413745</v>
      </c>
      <c r="H7" s="42">
        <f>AVERAGE(G6:H6)*360/'Income Statement'!G24</f>
        <v>22.746746819786114</v>
      </c>
      <c r="I7" s="42">
        <v>21</v>
      </c>
      <c r="J7" s="42">
        <f>I7</f>
        <v>21</v>
      </c>
      <c r="K7" s="42">
        <f t="shared" ref="K7:M7" si="0">J7</f>
        <v>21</v>
      </c>
      <c r="L7" s="42">
        <f t="shared" si="0"/>
        <v>21</v>
      </c>
      <c r="M7" s="42">
        <f t="shared" si="0"/>
        <v>21</v>
      </c>
    </row>
    <row r="8" spans="1:16" x14ac:dyDescent="0.3">
      <c r="A8" s="17"/>
      <c r="B8" s="39">
        <v>2</v>
      </c>
      <c r="C8" s="39" t="s">
        <v>26</v>
      </c>
      <c r="D8" s="17"/>
      <c r="E8" s="18">
        <f>'Balance Sheet'!D17</f>
        <v>457728</v>
      </c>
      <c r="F8" s="18">
        <f>'Balance Sheet'!E17</f>
        <v>733001</v>
      </c>
      <c r="G8" s="18">
        <f>'Balance Sheet'!F17</f>
        <v>676669</v>
      </c>
      <c r="H8" s="18">
        <f>'Balance Sheet'!G17</f>
        <v>1135474</v>
      </c>
      <c r="I8" s="45">
        <f>I9*'Income Statement'!H10/360</f>
        <v>1023978.6762522287</v>
      </c>
      <c r="J8" s="45">
        <f>J9*'Income Statement'!I10/360</f>
        <v>1126376.5438774517</v>
      </c>
      <c r="K8" s="45">
        <f>K9*'Income Statement'!J10/360</f>
        <v>1239014.198265197</v>
      </c>
      <c r="L8" s="45">
        <f>L9*'Income Statement'!K10/360</f>
        <v>1362915.6180917167</v>
      </c>
      <c r="M8" s="45">
        <f>M9*'Income Statement'!L10/360</f>
        <v>1499207.1799008886</v>
      </c>
      <c r="O8" s="39" t="s">
        <v>190</v>
      </c>
      <c r="P8" t="s">
        <v>200</v>
      </c>
    </row>
    <row r="9" spans="1:16" x14ac:dyDescent="0.3">
      <c r="A9" s="17"/>
      <c r="B9" s="39"/>
      <c r="D9" s="40" t="s">
        <v>186</v>
      </c>
      <c r="E9" s="17"/>
      <c r="F9" s="42">
        <f>AVERAGE(E8:F8)*360/'Income Statement'!E10</f>
        <v>9.6984743259546669</v>
      </c>
      <c r="G9" s="42">
        <f>AVERAGE(F8:G8)*360/'Income Statement'!F10</f>
        <v>7.4559596510534512</v>
      </c>
      <c r="H9" s="42">
        <f>AVERAGE(G8:H8)*360/'Income Statement'!G10</f>
        <v>8.2387169286741173</v>
      </c>
      <c r="I9" s="42">
        <f>AVERAGE(F9:H9)</f>
        <v>8.4643836352274118</v>
      </c>
      <c r="J9" s="42">
        <f>I9</f>
        <v>8.4643836352274118</v>
      </c>
      <c r="K9" s="42">
        <f t="shared" ref="K9:M9" si="1">J9</f>
        <v>8.4643836352274118</v>
      </c>
      <c r="L9" s="42">
        <f t="shared" si="1"/>
        <v>8.4643836352274118</v>
      </c>
      <c r="M9" s="42">
        <f t="shared" si="1"/>
        <v>8.4643836352274118</v>
      </c>
    </row>
    <row r="10" spans="1:16" x14ac:dyDescent="0.3">
      <c r="A10" s="17"/>
      <c r="B10" s="39">
        <v>3</v>
      </c>
      <c r="C10" s="39" t="s">
        <v>27</v>
      </c>
      <c r="D10" s="17"/>
      <c r="E10" s="18">
        <f>'Balance Sheet'!D18</f>
        <v>98673</v>
      </c>
      <c r="F10" s="18">
        <f>'Balance Sheet'!E18</f>
        <v>128596</v>
      </c>
      <c r="G10" s="18">
        <f>'Balance Sheet'!F18</f>
        <v>133787</v>
      </c>
      <c r="H10" s="18">
        <f>'Balance Sheet'!G18</f>
        <v>136462</v>
      </c>
      <c r="I10" s="45">
        <f>I11*'Income Statement'!H22/360</f>
        <v>161797.65198142309</v>
      </c>
      <c r="J10" s="45">
        <f>J11*'Income Statement'!I22/360</f>
        <v>177977.41717956541</v>
      </c>
      <c r="K10" s="45">
        <f>K11*'Income Statement'!J22/360</f>
        <v>195775.15889752196</v>
      </c>
      <c r="L10" s="45">
        <f>L11*'Income Statement'!K22/360</f>
        <v>215352.67478727415</v>
      </c>
      <c r="M10" s="45">
        <f>M11*'Income Statement'!L22/360</f>
        <v>236887.94226600163</v>
      </c>
      <c r="O10" s="39" t="s">
        <v>191</v>
      </c>
      <c r="P10" t="s">
        <v>200</v>
      </c>
    </row>
    <row r="11" spans="1:16" x14ac:dyDescent="0.3">
      <c r="A11" s="17"/>
      <c r="B11" s="39"/>
      <c r="D11" s="40" t="s">
        <v>186</v>
      </c>
      <c r="E11" s="17"/>
      <c r="F11" s="42">
        <f>AVERAGE(E10:F10)*360/'Income Statement'!E22</f>
        <v>2.9249800513088915</v>
      </c>
      <c r="G11" s="42">
        <f>AVERAGE(F10:G10)*360/'Income Statement'!F22</f>
        <v>2.1985534283050905</v>
      </c>
      <c r="H11" s="42">
        <f>AVERAGE(G10:H10)*360/'Income Statement'!G22</f>
        <v>2.0210819843961674</v>
      </c>
      <c r="I11" s="42">
        <f>AVERAGE(G11:H11)</f>
        <v>2.1098177063506292</v>
      </c>
      <c r="J11" s="42">
        <f>I11</f>
        <v>2.1098177063506292</v>
      </c>
      <c r="K11" s="42">
        <f t="shared" ref="K11:M11" si="2">J11</f>
        <v>2.1098177063506292</v>
      </c>
      <c r="L11" s="42">
        <f t="shared" si="2"/>
        <v>2.1098177063506292</v>
      </c>
      <c r="M11" s="42">
        <f t="shared" si="2"/>
        <v>2.1098177063506292</v>
      </c>
    </row>
    <row r="12" spans="1:16" x14ac:dyDescent="0.3">
      <c r="A12" s="17"/>
      <c r="B12" s="39">
        <v>6</v>
      </c>
      <c r="C12" s="39" t="s">
        <v>28</v>
      </c>
      <c r="D12" s="17"/>
      <c r="E12" s="18">
        <f>'Balance Sheet'!D20</f>
        <v>560052</v>
      </c>
      <c r="F12" s="18">
        <f>'Balance Sheet'!E20</f>
        <v>156561</v>
      </c>
      <c r="G12" s="18">
        <f>'Balance Sheet'!F20</f>
        <v>181086</v>
      </c>
      <c r="H12" s="18">
        <f>'Balance Sheet'!G20</f>
        <v>282918</v>
      </c>
      <c r="I12" s="45">
        <f>I13*'Income Statement'!H10/360</f>
        <v>235623.68489003211</v>
      </c>
      <c r="J12" s="45">
        <f>J13*'Income Statement'!I10/360</f>
        <v>259186.05337903532</v>
      </c>
      <c r="K12" s="45">
        <f>K13*'Income Statement'!J10/360</f>
        <v>285104.65871693887</v>
      </c>
      <c r="L12" s="45">
        <f>L13*'Income Statement'!K10/360</f>
        <v>313615.12458863278</v>
      </c>
      <c r="M12" s="45">
        <f>M13*'Income Statement'!L10/360</f>
        <v>344976.6370474961</v>
      </c>
      <c r="O12" s="39" t="s">
        <v>190</v>
      </c>
      <c r="P12" t="s">
        <v>200</v>
      </c>
    </row>
    <row r="13" spans="1:16" x14ac:dyDescent="0.3">
      <c r="A13" s="17"/>
      <c r="B13" s="39"/>
      <c r="D13" s="40" t="s">
        <v>186</v>
      </c>
      <c r="E13" s="17"/>
      <c r="F13" s="42">
        <f>AVERAGE(E12:F12)*360/'Income Statement'!E10</f>
        <v>5.8368048331277329</v>
      </c>
      <c r="G13" s="42">
        <f>AVERAGE(F12:G12)*360/'Income Statement'!F10</f>
        <v>1.7858664852761601</v>
      </c>
      <c r="H13" s="42">
        <f>AVERAGE(G12:H12)*360/'Income Statement'!G10</f>
        <v>2.1095452234026264</v>
      </c>
      <c r="I13" s="42">
        <f>AVERAGE(G13:H13)</f>
        <v>1.9477058543393932</v>
      </c>
      <c r="J13" s="42">
        <f>I13</f>
        <v>1.9477058543393932</v>
      </c>
      <c r="K13" s="42">
        <f t="shared" ref="K13:M13" si="3">J13</f>
        <v>1.9477058543393932</v>
      </c>
      <c r="L13" s="42">
        <f t="shared" si="3"/>
        <v>1.9477058543393932</v>
      </c>
      <c r="M13" s="42">
        <f t="shared" si="3"/>
        <v>1.9477058543393932</v>
      </c>
    </row>
    <row r="14" spans="1:16" x14ac:dyDescent="0.3">
      <c r="A14" s="17"/>
      <c r="B14" s="39"/>
      <c r="D14" s="40"/>
      <c r="E14" s="17"/>
      <c r="F14" s="42"/>
      <c r="G14" s="42"/>
      <c r="H14" s="42"/>
      <c r="I14" s="42"/>
      <c r="J14" s="42"/>
      <c r="K14" s="42"/>
      <c r="L14" s="42"/>
      <c r="M14" s="42"/>
    </row>
    <row r="15" spans="1:16" x14ac:dyDescent="0.3">
      <c r="A15" s="17"/>
      <c r="B15" s="38" t="s">
        <v>37</v>
      </c>
      <c r="C15" s="39"/>
      <c r="D15" s="17"/>
      <c r="E15" s="17"/>
      <c r="O15" s="39"/>
    </row>
    <row r="16" spans="1:16" x14ac:dyDescent="0.3">
      <c r="A16" s="17"/>
      <c r="B16" s="39">
        <v>4</v>
      </c>
      <c r="C16" s="39" t="s">
        <v>38</v>
      </c>
      <c r="D16" s="17"/>
      <c r="E16" s="18">
        <f>'Balance Sheet'!D26</f>
        <v>345594</v>
      </c>
      <c r="F16" s="18">
        <f>'Balance Sheet'!E26</f>
        <v>525501</v>
      </c>
      <c r="G16" s="18">
        <f>'Balance Sheet'!F26</f>
        <v>681147</v>
      </c>
      <c r="H16" s="18">
        <f>'Balance Sheet'!G26</f>
        <v>766905</v>
      </c>
      <c r="I16" s="45">
        <f>I17*'Income Statement'!H24/360</f>
        <v>815762.19236545276</v>
      </c>
      <c r="J16" s="45">
        <f>J17*'Income Statement'!I24/360</f>
        <v>897338.41160199803</v>
      </c>
      <c r="K16" s="45">
        <f>K17*'Income Statement'!J24/360</f>
        <v>987072.25276219798</v>
      </c>
      <c r="L16" s="45">
        <f>L17*'Income Statement'!K24/360</f>
        <v>1085779.4780384179</v>
      </c>
      <c r="M16" s="45">
        <f>M17*'Income Statement'!L24/360</f>
        <v>1194357.4258422595</v>
      </c>
      <c r="O16" s="39" t="s">
        <v>189</v>
      </c>
    </row>
    <row r="17" spans="1:16" x14ac:dyDescent="0.3">
      <c r="A17" s="17"/>
      <c r="B17" s="39"/>
      <c r="D17" s="40" t="s">
        <v>187</v>
      </c>
      <c r="E17" s="17"/>
      <c r="F17" s="42">
        <f>AVERAGE(E16:F16)*360/'Income Statement'!E24</f>
        <v>36.826982088086226</v>
      </c>
      <c r="G17" s="42">
        <f>AVERAGE(F16:G16)*360/'Income Statement'!F24</f>
        <v>49.312764234342787</v>
      </c>
      <c r="H17" s="42">
        <f>AVERAGE(G16:H16)*360/'Income Statement'!G24</f>
        <v>51.125340852788078</v>
      </c>
      <c r="I17" s="42">
        <f>AVERAGE(G17:H17)</f>
        <v>50.219052543565432</v>
      </c>
      <c r="J17" s="42">
        <f>I17</f>
        <v>50.219052543565432</v>
      </c>
      <c r="K17" s="42">
        <f t="shared" ref="K17:M17" si="4">J17</f>
        <v>50.219052543565432</v>
      </c>
      <c r="L17" s="42">
        <f t="shared" si="4"/>
        <v>50.219052543565432</v>
      </c>
      <c r="M17" s="42">
        <f t="shared" si="4"/>
        <v>50.219052543565432</v>
      </c>
    </row>
    <row r="18" spans="1:16" x14ac:dyDescent="0.3">
      <c r="A18" s="17"/>
      <c r="B18" s="39">
        <v>5</v>
      </c>
      <c r="C18" s="39" t="s">
        <v>57</v>
      </c>
      <c r="D18" s="17"/>
      <c r="E18" s="18">
        <f>'Balance Sheet'!D28</f>
        <v>1258868</v>
      </c>
      <c r="F18" s="18">
        <f>'Balance Sheet'!E28</f>
        <v>1167082</v>
      </c>
      <c r="G18" s="18">
        <f>'Balance Sheet'!F28</f>
        <v>456299</v>
      </c>
      <c r="H18" s="18">
        <f>'Balance Sheet'!G28</f>
        <v>393424</v>
      </c>
      <c r="I18" s="12">
        <f>I19*'Income Statement'!H22/360</f>
        <v>690191.79403493274</v>
      </c>
      <c r="J18" s="12">
        <f>J19*'Income Statement'!I22/360</f>
        <v>759210.97343842615</v>
      </c>
      <c r="K18" s="12">
        <f>K19*'Income Statement'!J22/360</f>
        <v>835132.07078226865</v>
      </c>
      <c r="L18" s="12">
        <f>L19*'Income Statement'!K22/360</f>
        <v>918645.27786049573</v>
      </c>
      <c r="M18" s="12">
        <f>M19*'Income Statement'!L22/360</f>
        <v>1010509.8056465454</v>
      </c>
      <c r="O18" s="39" t="s">
        <v>191</v>
      </c>
      <c r="P18" t="s">
        <v>203</v>
      </c>
    </row>
    <row r="19" spans="1:16" x14ac:dyDescent="0.3">
      <c r="A19" s="17"/>
      <c r="B19" s="39"/>
      <c r="D19" s="40" t="s">
        <v>187</v>
      </c>
      <c r="E19" s="17"/>
      <c r="F19" s="42">
        <f>AVERAGE(E18:F18)*360/'Income Statement'!E22</f>
        <v>31.222275609400338</v>
      </c>
      <c r="G19" s="42">
        <f>AVERAGE(F18:G18)*360/'Income Statement'!F22</f>
        <v>13.602595682629385</v>
      </c>
      <c r="H19" s="42">
        <f>AVERAGE(G18:H18)*360/'Income Statement'!G22</f>
        <v>6.3547315513732316</v>
      </c>
      <c r="I19" s="42">
        <v>9</v>
      </c>
      <c r="J19" s="42">
        <f>I19</f>
        <v>9</v>
      </c>
      <c r="K19" s="42">
        <f t="shared" ref="K19:M19" si="5">J19</f>
        <v>9</v>
      </c>
      <c r="L19" s="42">
        <f t="shared" si="5"/>
        <v>9</v>
      </c>
      <c r="M19" s="42">
        <f t="shared" si="5"/>
        <v>9</v>
      </c>
    </row>
    <row r="20" spans="1:16" x14ac:dyDescent="0.3">
      <c r="A20" s="17"/>
      <c r="B20" s="39">
        <v>5</v>
      </c>
      <c r="C20" s="39" t="s">
        <v>40</v>
      </c>
      <c r="D20" s="17"/>
      <c r="E20" s="18">
        <f>'Balance Sheet'!D30</f>
        <v>4003064</v>
      </c>
      <c r="F20" s="18">
        <f>'Balance Sheet'!E30</f>
        <v>5866015</v>
      </c>
      <c r="G20" s="18">
        <f>'Balance Sheet'!F30</f>
        <v>9969074</v>
      </c>
      <c r="H20" s="18">
        <f>'Balance Sheet'!G30</f>
        <v>9703870</v>
      </c>
      <c r="I20" s="12">
        <f>I21*'Income Statement'!H22/360</f>
        <v>10729066.831570724</v>
      </c>
      <c r="J20" s="12">
        <f>J21*'Income Statement'!I22/360</f>
        <v>11801973.514727797</v>
      </c>
      <c r="K20" s="12">
        <f>K21*'Income Statement'!J22/360</f>
        <v>12982170.866200577</v>
      </c>
      <c r="L20" s="12">
        <f>L21*'Income Statement'!K22/360</f>
        <v>14280387.952820638</v>
      </c>
      <c r="M20" s="12">
        <f>M21*'Income Statement'!L22/360</f>
        <v>15708426.748102702</v>
      </c>
      <c r="O20" s="39" t="s">
        <v>191</v>
      </c>
      <c r="P20" t="s">
        <v>198</v>
      </c>
    </row>
    <row r="21" spans="1:16" x14ac:dyDescent="0.3">
      <c r="A21" s="17"/>
      <c r="B21" s="39"/>
      <c r="D21" s="40" t="s">
        <v>187</v>
      </c>
      <c r="E21" s="17"/>
      <c r="F21" s="42">
        <f>AVERAGE(E20:F20)*360/'Income Statement'!E22</f>
        <v>127.01626354580476</v>
      </c>
      <c r="G21" s="42">
        <f>AVERAGE(F20:G20)*360/'Income Statement'!F22</f>
        <v>132.68500325274971</v>
      </c>
      <c r="H21" s="42">
        <f>AVERAGE(G20:H20)*360/'Income Statement'!G22</f>
        <v>147.12591979409609</v>
      </c>
      <c r="I21" s="42">
        <f>AVERAGE(G21:H21)</f>
        <v>139.9054615234229</v>
      </c>
      <c r="J21" s="42">
        <f t="shared" ref="J21:M21" si="6">I21</f>
        <v>139.9054615234229</v>
      </c>
      <c r="K21" s="42">
        <f t="shared" si="6"/>
        <v>139.9054615234229</v>
      </c>
      <c r="L21" s="42">
        <f t="shared" si="6"/>
        <v>139.9054615234229</v>
      </c>
      <c r="M21" s="42">
        <f t="shared" si="6"/>
        <v>139.9054615234229</v>
      </c>
    </row>
    <row r="22" spans="1:16" x14ac:dyDescent="0.3">
      <c r="A22" s="17"/>
      <c r="B22" s="39">
        <v>6</v>
      </c>
      <c r="C22" s="39" t="s">
        <v>41</v>
      </c>
      <c r="D22" s="17"/>
      <c r="E22" s="18">
        <f>'Balance Sheet'!D31</f>
        <v>128920</v>
      </c>
      <c r="F22" s="18">
        <f>'Balance Sheet'!E31</f>
        <v>202298</v>
      </c>
      <c r="G22" s="18">
        <f>'Balance Sheet'!F31</f>
        <v>261601</v>
      </c>
      <c r="H22" s="18">
        <f>'Balance Sheet'!G31</f>
        <v>160196</v>
      </c>
      <c r="I22" s="45">
        <f>I23*'Income Statement'!H10/360</f>
        <v>264408.25570529571</v>
      </c>
      <c r="J22" s="45">
        <f>J23*'Income Statement'!I10/360</f>
        <v>290849.08127582533</v>
      </c>
      <c r="K22" s="45">
        <f>K23*'Income Statement'!J10/360</f>
        <v>319933.98940340785</v>
      </c>
      <c r="L22" s="45">
        <f>L23*'Income Statement'!K10/360</f>
        <v>351927.38834374869</v>
      </c>
      <c r="M22" s="45">
        <f>M23*'Income Statement'!L10/360</f>
        <v>387120.12717812357</v>
      </c>
      <c r="O22" s="39" t="s">
        <v>190</v>
      </c>
      <c r="P22" t="s">
        <v>204</v>
      </c>
    </row>
    <row r="23" spans="1:16" x14ac:dyDescent="0.3">
      <c r="A23" s="17"/>
      <c r="B23" s="39"/>
      <c r="D23" s="40" t="s">
        <v>187</v>
      </c>
      <c r="E23" s="17"/>
      <c r="F23" s="42">
        <f>AVERAGE(E22:F22)*360/'Income Statement'!E10</f>
        <v>2.6977668884305772</v>
      </c>
      <c r="G23" s="42">
        <f>AVERAGE(F22:G22)*360/'Income Statement'!F10</f>
        <v>2.4536325708598783</v>
      </c>
      <c r="H23" s="42">
        <f>AVERAGE(G22:H22)*360/'Income Statement'!G10</f>
        <v>1.9176555516667044</v>
      </c>
      <c r="I23" s="42">
        <f>AVERAGE(G23:H23)</f>
        <v>2.1856440612632912</v>
      </c>
      <c r="J23" s="42">
        <f>I23</f>
        <v>2.1856440612632912</v>
      </c>
      <c r="K23" s="42">
        <f t="shared" ref="K23:M24" si="7">J23</f>
        <v>2.1856440612632912</v>
      </c>
      <c r="L23" s="42">
        <f t="shared" si="7"/>
        <v>2.1856440612632912</v>
      </c>
      <c r="M23" s="42">
        <f t="shared" si="7"/>
        <v>2.1856440612632912</v>
      </c>
    </row>
    <row r="24" spans="1:16" x14ac:dyDescent="0.3">
      <c r="A24" s="17"/>
      <c r="B24" s="39">
        <v>7</v>
      </c>
      <c r="C24" s="19" t="s">
        <v>42</v>
      </c>
      <c r="D24" s="17"/>
      <c r="E24" s="18">
        <f>'Balance Sheet'!D32</f>
        <v>15049</v>
      </c>
      <c r="F24" s="18">
        <f>'Balance Sheet'!E32</f>
        <v>12427</v>
      </c>
      <c r="G24" s="18">
        <f>'Balance Sheet'!F32</f>
        <v>12427</v>
      </c>
      <c r="H24" s="18">
        <f>'Balance Sheet'!G32</f>
        <v>12427</v>
      </c>
      <c r="I24" s="1">
        <f>H24</f>
        <v>12427</v>
      </c>
      <c r="J24" s="1">
        <f t="shared" ref="J24" si="8">I24</f>
        <v>12427</v>
      </c>
      <c r="K24" s="1">
        <f t="shared" si="7"/>
        <v>12427</v>
      </c>
      <c r="L24" s="1">
        <f t="shared" si="7"/>
        <v>12427</v>
      </c>
      <c r="M24" s="1">
        <f t="shared" si="7"/>
        <v>12427</v>
      </c>
      <c r="O24" s="19" t="s">
        <v>192</v>
      </c>
    </row>
    <row r="25" spans="1:16" x14ac:dyDescent="0.3">
      <c r="A25" s="17"/>
      <c r="B25" s="39"/>
      <c r="D25" s="40" t="s">
        <v>187</v>
      </c>
      <c r="E25" s="17"/>
      <c r="F25" s="11">
        <f>AVERAGE(E24:F24)*360/'Income Statement'!E38</f>
        <v>397.97859499476948</v>
      </c>
      <c r="G25">
        <f>AVERAGE(F24:G24)*360/'Income Statement'!F38</f>
        <v>360</v>
      </c>
      <c r="H25">
        <f>AVERAGE(G24:H24)*360/'Income Statement'!G38</f>
        <v>360</v>
      </c>
      <c r="I25" s="11"/>
      <c r="L25" s="17"/>
      <c r="M25" s="17"/>
      <c r="O25" s="39" t="s">
        <v>212</v>
      </c>
    </row>
    <row r="26" spans="1:16" x14ac:dyDescent="0.3">
      <c r="A26" s="17"/>
      <c r="B26" s="17"/>
      <c r="C26" s="17"/>
      <c r="D26" s="17"/>
      <c r="E26" s="17"/>
      <c r="O26" s="39" t="s">
        <v>214</v>
      </c>
    </row>
    <row r="27" spans="1:16" x14ac:dyDescent="0.3">
      <c r="A27" s="23"/>
      <c r="B27" s="43" t="s">
        <v>195</v>
      </c>
      <c r="C27" s="23"/>
      <c r="D27" s="23"/>
      <c r="E27" s="18">
        <f>SUM('Cash Flow Statement'!D18:D25)</f>
        <v>-1755159</v>
      </c>
      <c r="F27" s="18">
        <f>SUM('Cash Flow Statement'!E18:E25)</f>
        <v>1836089</v>
      </c>
      <c r="G27" s="18">
        <f>SUM('Cash Flow Statement'!F18:F25)</f>
        <v>4333195</v>
      </c>
      <c r="H27" s="36">
        <f>H6+H8+H10+H12-H16-H18-H20-H22</f>
        <v>-9156916</v>
      </c>
      <c r="I27" s="36">
        <f>I6+I8+I10+I12-I16-I18-I20-I22-I24</f>
        <v>-10749330.428506732</v>
      </c>
      <c r="J27" s="36">
        <f t="shared" ref="J27:M27" si="9">J6+J8+J10+J12-J16-J18-J20-J22-J24</f>
        <v>-11823020.771357406</v>
      </c>
      <c r="K27" s="36">
        <f t="shared" si="9"/>
        <v>-13004080.148493147</v>
      </c>
      <c r="L27" s="36">
        <f t="shared" si="9"/>
        <v>-14303245.463342465</v>
      </c>
      <c r="M27" s="36">
        <f t="shared" si="9"/>
        <v>-15732327.309676711</v>
      </c>
    </row>
    <row r="28" spans="1:16" x14ac:dyDescent="0.3">
      <c r="A28" s="23"/>
      <c r="B28" s="44" t="s">
        <v>196</v>
      </c>
      <c r="C28" s="23"/>
      <c r="D28" s="23"/>
      <c r="E28" s="31"/>
      <c r="F28" s="31"/>
      <c r="G28" s="31"/>
      <c r="H28" s="31"/>
      <c r="I28" s="36">
        <f>I27-H27</f>
        <v>-1592414.428506732</v>
      </c>
      <c r="J28" s="36">
        <f t="shared" ref="J28:M28" si="10">J27-I27</f>
        <v>-1073690.3428506739</v>
      </c>
      <c r="K28" s="36">
        <f t="shared" si="10"/>
        <v>-1181059.3771357406</v>
      </c>
      <c r="L28" s="36">
        <f t="shared" si="10"/>
        <v>-1299165.3148493189</v>
      </c>
      <c r="M28" s="36">
        <f t="shared" si="10"/>
        <v>-1429081.8463342451</v>
      </c>
    </row>
    <row r="29" spans="1:16" x14ac:dyDescent="0.3">
      <c r="A29" s="23"/>
      <c r="B29" s="43" t="s">
        <v>197</v>
      </c>
      <c r="C29" s="23"/>
      <c r="D29" s="23"/>
      <c r="E29" s="17"/>
    </row>
    <row r="30" spans="1:16" x14ac:dyDescent="0.3">
      <c r="A30" s="23"/>
      <c r="B30" s="23"/>
      <c r="C30" s="23"/>
      <c r="D30" s="23"/>
      <c r="E30" s="17"/>
      <c r="I30" t="s">
        <v>205</v>
      </c>
    </row>
    <row r="31" spans="1:16" x14ac:dyDescent="0.3">
      <c r="A31" s="23"/>
      <c r="B31" s="23"/>
      <c r="C31" s="23"/>
      <c r="D31" s="23"/>
      <c r="E31" s="17"/>
    </row>
    <row r="32" spans="1:16" x14ac:dyDescent="0.3">
      <c r="A32" s="23"/>
      <c r="B32" s="23"/>
      <c r="C32" s="23"/>
      <c r="D32" s="23"/>
    </row>
  </sheetData>
  <mergeCells count="2">
    <mergeCell ref="E2:H2"/>
    <mergeCell ref="I2:M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67AE1-9707-4AF1-AF59-6CA26B7D4BFA}">
  <dimension ref="A1:O42"/>
  <sheetViews>
    <sheetView workbookViewId="0">
      <selection activeCell="E9" sqref="E9"/>
    </sheetView>
  </sheetViews>
  <sheetFormatPr defaultRowHeight="14.4" x14ac:dyDescent="0.3"/>
  <cols>
    <col min="2" max="2" width="3.77734375" customWidth="1"/>
    <col min="3" max="3" width="4.21875" customWidth="1"/>
    <col min="4" max="4" width="50.109375" customWidth="1"/>
    <col min="8" max="8" width="9.88671875" bestFit="1" customWidth="1"/>
    <col min="9" max="13" width="11" bestFit="1" customWidth="1"/>
  </cols>
  <sheetData>
    <row r="1" spans="1:15" x14ac:dyDescent="0.3">
      <c r="A1" s="39"/>
      <c r="B1" s="39"/>
      <c r="C1" s="39"/>
      <c r="D1" s="39"/>
      <c r="E1" s="39"/>
      <c r="F1" s="39"/>
      <c r="G1" s="39"/>
    </row>
    <row r="2" spans="1:15" x14ac:dyDescent="0.3">
      <c r="A2" s="39"/>
      <c r="B2" s="39"/>
      <c r="C2" s="39"/>
      <c r="D2" s="39"/>
      <c r="E2" s="180" t="s">
        <v>332</v>
      </c>
      <c r="F2" s="180"/>
      <c r="G2" s="180"/>
      <c r="H2" s="180"/>
      <c r="I2" s="178" t="s">
        <v>333</v>
      </c>
      <c r="J2" s="178"/>
      <c r="K2" s="178"/>
      <c r="L2" s="178"/>
      <c r="M2" s="179"/>
    </row>
    <row r="3" spans="1:15" ht="15" thickBot="1" x14ac:dyDescent="0.35">
      <c r="A3" s="39"/>
      <c r="B3" s="134" t="s">
        <v>331</v>
      </c>
      <c r="E3" s="136" t="s">
        <v>109</v>
      </c>
      <c r="F3" s="136" t="s">
        <v>110</v>
      </c>
      <c r="G3" s="136" t="s">
        <v>111</v>
      </c>
      <c r="H3" s="136" t="s">
        <v>112</v>
      </c>
      <c r="I3" s="136" t="s">
        <v>113</v>
      </c>
      <c r="J3" s="136" t="s">
        <v>114</v>
      </c>
      <c r="K3" s="136" t="s">
        <v>115</v>
      </c>
      <c r="L3" s="136" t="s">
        <v>116</v>
      </c>
      <c r="M3" s="136" t="s">
        <v>117</v>
      </c>
      <c r="O3" s="21" t="s">
        <v>252</v>
      </c>
    </row>
    <row r="4" spans="1:15" x14ac:dyDescent="0.3">
      <c r="A4" s="39"/>
      <c r="B4" s="39"/>
      <c r="C4" s="39"/>
      <c r="D4" s="39"/>
      <c r="E4" s="39"/>
      <c r="F4" s="39"/>
      <c r="G4" s="39"/>
    </row>
    <row r="5" spans="1:15" x14ac:dyDescent="0.3">
      <c r="A5" s="39"/>
      <c r="B5" s="54" t="s">
        <v>226</v>
      </c>
      <c r="C5" s="39"/>
      <c r="D5" s="39"/>
      <c r="E5" s="39"/>
      <c r="F5" s="39"/>
      <c r="G5" s="39"/>
    </row>
    <row r="6" spans="1:15" x14ac:dyDescent="0.3">
      <c r="A6" s="39"/>
      <c r="B6" s="39"/>
      <c r="C6" s="19" t="s">
        <v>227</v>
      </c>
      <c r="D6" s="39"/>
      <c r="E6" s="39"/>
      <c r="F6" s="1">
        <f t="shared" ref="F6:G6" si="0">E32</f>
        <v>6731356</v>
      </c>
      <c r="G6" s="1">
        <f t="shared" si="0"/>
        <v>2591442</v>
      </c>
      <c r="H6" s="1">
        <f>G32</f>
        <v>5239690</v>
      </c>
      <c r="I6" s="1">
        <f t="shared" ref="I6:M6" si="1">H32</f>
        <v>9526423</v>
      </c>
      <c r="J6" s="1">
        <f t="shared" ca="1" si="1"/>
        <v>12706172.372434363</v>
      </c>
      <c r="K6" s="1">
        <f t="shared" ca="1" si="1"/>
        <v>16579931.703832213</v>
      </c>
      <c r="L6" s="1">
        <f t="shared" ca="1" si="1"/>
        <v>20935341.687579911</v>
      </c>
      <c r="M6" s="1">
        <f t="shared" ca="1" si="1"/>
        <v>25597717.689124085</v>
      </c>
    </row>
    <row r="7" spans="1:15" x14ac:dyDescent="0.3">
      <c r="A7" s="39"/>
      <c r="B7" s="39"/>
      <c r="C7" s="19" t="s">
        <v>228</v>
      </c>
      <c r="D7" s="39"/>
      <c r="E7" s="39"/>
      <c r="F7" s="39"/>
      <c r="G7" s="39"/>
      <c r="I7" s="1">
        <f ca="1">'Cash Flow Statement'!H63</f>
        <v>3179749.3724343618</v>
      </c>
      <c r="J7" s="1">
        <f ca="1">'Cash Flow Statement'!I63</f>
        <v>3873759.331397851</v>
      </c>
      <c r="K7" s="1">
        <f ca="1">'Cash Flow Statement'!J63</f>
        <v>4355409.9837476993</v>
      </c>
      <c r="L7" s="1">
        <f ca="1">'Cash Flow Statement'!K63</f>
        <v>4662376.0015441747</v>
      </c>
      <c r="M7" s="1">
        <f ca="1">'Cash Flow Statement'!L63</f>
        <v>5200225.6850791154</v>
      </c>
    </row>
    <row r="8" spans="1:15" x14ac:dyDescent="0.3">
      <c r="A8" s="39"/>
      <c r="B8" s="39"/>
      <c r="C8" s="19" t="s">
        <v>229</v>
      </c>
      <c r="D8" s="39"/>
      <c r="E8" s="39"/>
      <c r="F8" s="39"/>
      <c r="G8" s="39"/>
      <c r="I8">
        <v>-1000000</v>
      </c>
      <c r="J8">
        <v>-1000000</v>
      </c>
      <c r="K8">
        <v>-1000000</v>
      </c>
      <c r="L8">
        <v>-1000000</v>
      </c>
      <c r="M8">
        <v>-1000000</v>
      </c>
    </row>
    <row r="9" spans="1:15" x14ac:dyDescent="0.3">
      <c r="A9" s="39"/>
      <c r="B9" s="39"/>
      <c r="C9" s="54" t="s">
        <v>230</v>
      </c>
      <c r="D9" s="39"/>
      <c r="E9" s="39"/>
      <c r="F9" s="39"/>
      <c r="G9" s="39"/>
      <c r="I9" s="1">
        <f ca="1">SUM(I6:I8)</f>
        <v>11706172.372434363</v>
      </c>
      <c r="J9" s="1">
        <f t="shared" ref="J9:M9" ca="1" si="2">SUM(J6:J8)</f>
        <v>15579931.703832213</v>
      </c>
      <c r="K9" s="1">
        <f t="shared" ca="1" si="2"/>
        <v>19935341.687579911</v>
      </c>
      <c r="L9" s="1">
        <f t="shared" ca="1" si="2"/>
        <v>24597717.689124085</v>
      </c>
      <c r="M9" s="1">
        <f t="shared" ca="1" si="2"/>
        <v>29797943.374203201</v>
      </c>
    </row>
    <row r="10" spans="1:15" x14ac:dyDescent="0.3">
      <c r="A10" s="39"/>
      <c r="B10" s="39"/>
      <c r="C10" s="39"/>
      <c r="D10" s="39"/>
      <c r="E10" s="39"/>
      <c r="F10" s="39"/>
      <c r="G10" s="39"/>
    </row>
    <row r="11" spans="1:15" x14ac:dyDescent="0.3">
      <c r="A11" s="39"/>
      <c r="B11" s="39"/>
      <c r="C11" s="39"/>
      <c r="D11" s="39"/>
      <c r="E11" s="39"/>
      <c r="F11" s="39"/>
      <c r="G11" s="39"/>
    </row>
    <row r="12" spans="1:15" x14ac:dyDescent="0.3">
      <c r="A12" s="39"/>
      <c r="B12" s="38" t="s">
        <v>234</v>
      </c>
      <c r="C12" s="39"/>
      <c r="D12" s="39"/>
      <c r="E12" s="39"/>
      <c r="F12" s="39"/>
      <c r="G12" s="39"/>
    </row>
    <row r="13" spans="1:15" x14ac:dyDescent="0.3">
      <c r="A13" s="39"/>
      <c r="B13" s="39"/>
      <c r="C13" s="19" t="s">
        <v>238</v>
      </c>
      <c r="D13" s="19"/>
      <c r="E13" s="39"/>
      <c r="F13" s="39"/>
      <c r="G13" s="39"/>
      <c r="I13" s="42">
        <v>0</v>
      </c>
      <c r="J13" s="42">
        <v>0</v>
      </c>
      <c r="K13" s="42">
        <v>0</v>
      </c>
      <c r="L13" s="42">
        <v>0</v>
      </c>
      <c r="M13" s="42">
        <v>0</v>
      </c>
    </row>
    <row r="14" spans="1:15" x14ac:dyDescent="0.3">
      <c r="A14" s="39"/>
      <c r="B14" s="39"/>
      <c r="C14" s="19" t="s">
        <v>240</v>
      </c>
      <c r="D14" s="19"/>
      <c r="E14" s="39"/>
      <c r="F14" s="39"/>
      <c r="G14" s="39"/>
      <c r="I14" s="42">
        <v>0</v>
      </c>
      <c r="J14" s="42">
        <v>0</v>
      </c>
      <c r="K14" s="42">
        <v>0</v>
      </c>
      <c r="L14" s="42">
        <v>0</v>
      </c>
      <c r="M14" s="42">
        <v>0</v>
      </c>
      <c r="O14" t="s">
        <v>254</v>
      </c>
    </row>
    <row r="15" spans="1:15" x14ac:dyDescent="0.3">
      <c r="A15" s="39"/>
      <c r="B15" s="39"/>
      <c r="C15" s="19" t="s">
        <v>241</v>
      </c>
      <c r="D15" s="19"/>
      <c r="E15" s="39"/>
      <c r="F15" s="39"/>
      <c r="G15" s="39"/>
      <c r="H15" s="42">
        <v>0</v>
      </c>
      <c r="I15" s="42">
        <v>0</v>
      </c>
      <c r="J15" s="42">
        <v>0</v>
      </c>
      <c r="K15" s="42">
        <v>0</v>
      </c>
      <c r="L15" s="42">
        <v>0</v>
      </c>
      <c r="M15" s="42">
        <v>0</v>
      </c>
      <c r="O15" t="s">
        <v>255</v>
      </c>
    </row>
    <row r="16" spans="1:15" x14ac:dyDescent="0.3">
      <c r="A16" s="39"/>
      <c r="B16" s="39"/>
      <c r="C16" s="54" t="s">
        <v>239</v>
      </c>
      <c r="D16" s="55"/>
      <c r="E16" s="39"/>
      <c r="F16" s="39"/>
      <c r="G16" s="39"/>
      <c r="H16" s="42">
        <v>0</v>
      </c>
      <c r="I16" s="42">
        <v>0</v>
      </c>
      <c r="J16" s="42">
        <v>0</v>
      </c>
      <c r="K16" s="42">
        <v>0</v>
      </c>
      <c r="L16" s="42">
        <v>0</v>
      </c>
      <c r="M16" s="42">
        <v>0</v>
      </c>
    </row>
    <row r="17" spans="1:15" x14ac:dyDescent="0.3">
      <c r="A17" s="39"/>
      <c r="B17" s="39"/>
      <c r="C17" s="19" t="s">
        <v>236</v>
      </c>
      <c r="D17" s="56"/>
      <c r="E17" s="39"/>
      <c r="F17" s="39"/>
      <c r="G17" s="39"/>
      <c r="I17" s="42">
        <v>0</v>
      </c>
      <c r="J17" s="42">
        <v>0</v>
      </c>
      <c r="K17" s="42">
        <v>0</v>
      </c>
      <c r="L17" s="42">
        <v>0</v>
      </c>
      <c r="M17" s="42">
        <v>0</v>
      </c>
    </row>
    <row r="18" spans="1:15" x14ac:dyDescent="0.3">
      <c r="A18" s="39"/>
      <c r="B18" s="39"/>
      <c r="C18" s="19"/>
      <c r="D18" s="57" t="s">
        <v>237</v>
      </c>
      <c r="E18" s="39"/>
      <c r="F18" s="39"/>
      <c r="G18" s="39"/>
      <c r="I18" s="42">
        <v>0</v>
      </c>
      <c r="J18" s="42">
        <v>0</v>
      </c>
      <c r="K18" s="42">
        <v>0</v>
      </c>
      <c r="L18" s="42">
        <v>0</v>
      </c>
      <c r="M18" s="42">
        <v>0</v>
      </c>
    </row>
    <row r="19" spans="1:15" x14ac:dyDescent="0.3">
      <c r="A19" s="39"/>
      <c r="B19" s="39"/>
      <c r="C19" s="39"/>
      <c r="D19" s="39"/>
      <c r="E19" s="39"/>
      <c r="F19" s="39"/>
      <c r="G19" s="39"/>
    </row>
    <row r="20" spans="1:15" x14ac:dyDescent="0.3">
      <c r="A20" s="39"/>
      <c r="B20" s="2" t="s">
        <v>235</v>
      </c>
      <c r="C20" s="39"/>
      <c r="D20" s="39"/>
      <c r="E20" s="39"/>
      <c r="F20" s="39"/>
      <c r="G20" s="39"/>
    </row>
    <row r="21" spans="1:15" x14ac:dyDescent="0.3">
      <c r="A21" s="39"/>
      <c r="B21" s="39"/>
      <c r="C21" s="19" t="s">
        <v>242</v>
      </c>
      <c r="D21" s="19"/>
      <c r="E21" s="39"/>
      <c r="F21" s="39"/>
      <c r="G21" s="39"/>
      <c r="H21" s="1"/>
      <c r="I21" s="1">
        <f>H24</f>
        <v>33078147</v>
      </c>
      <c r="J21" s="1">
        <f t="shared" ref="J21:M21" si="3">I24</f>
        <v>33078147</v>
      </c>
      <c r="K21" s="1">
        <f t="shared" si="3"/>
        <v>33078147</v>
      </c>
      <c r="L21" s="1">
        <f t="shared" si="3"/>
        <v>33078147</v>
      </c>
      <c r="M21" s="1">
        <f t="shared" si="3"/>
        <v>33078147</v>
      </c>
    </row>
    <row r="22" spans="1:15" x14ac:dyDescent="0.3">
      <c r="C22" s="19" t="s">
        <v>240</v>
      </c>
      <c r="D22" s="19"/>
      <c r="E22" s="39"/>
      <c r="F22" s="39"/>
      <c r="I22" s="42">
        <v>0</v>
      </c>
      <c r="J22" s="42">
        <v>0</v>
      </c>
      <c r="K22" s="42">
        <v>0</v>
      </c>
      <c r="L22" s="42">
        <v>0</v>
      </c>
      <c r="M22" s="42">
        <v>0</v>
      </c>
    </row>
    <row r="23" spans="1:15" x14ac:dyDescent="0.3">
      <c r="B23" s="58"/>
      <c r="C23" s="44" t="s">
        <v>241</v>
      </c>
      <c r="D23" s="44"/>
      <c r="E23" s="59"/>
      <c r="F23" s="59"/>
      <c r="G23" s="58"/>
      <c r="H23" s="42">
        <v>0</v>
      </c>
      <c r="I23" s="42">
        <v>0</v>
      </c>
      <c r="J23" s="42">
        <v>0</v>
      </c>
      <c r="K23" s="42">
        <v>0</v>
      </c>
      <c r="L23" s="42">
        <v>0</v>
      </c>
      <c r="M23" s="42">
        <v>0</v>
      </c>
    </row>
    <row r="24" spans="1:15" x14ac:dyDescent="0.3">
      <c r="B24" s="58"/>
      <c r="C24" s="43" t="s">
        <v>239</v>
      </c>
      <c r="D24" s="60"/>
      <c r="E24" s="59"/>
      <c r="F24" s="59"/>
      <c r="G24" s="58"/>
      <c r="H24" s="65">
        <f>'Balance Sheet'!G37</f>
        <v>33078147</v>
      </c>
      <c r="I24" s="65">
        <f>SUM(I21:I23)</f>
        <v>33078147</v>
      </c>
      <c r="J24" s="65">
        <f t="shared" ref="J24:M24" si="4">SUM(J21:J23)</f>
        <v>33078147</v>
      </c>
      <c r="K24" s="65">
        <f t="shared" si="4"/>
        <v>33078147</v>
      </c>
      <c r="L24" s="65">
        <f t="shared" si="4"/>
        <v>33078147</v>
      </c>
      <c r="M24" s="65">
        <f t="shared" si="4"/>
        <v>33078147</v>
      </c>
    </row>
    <row r="25" spans="1:15" x14ac:dyDescent="0.3">
      <c r="A25" s="17"/>
      <c r="B25" s="23"/>
      <c r="C25" s="44" t="s">
        <v>243</v>
      </c>
      <c r="D25" s="61"/>
      <c r="E25" s="59"/>
      <c r="F25" s="59"/>
      <c r="G25" s="23"/>
      <c r="H25" s="65">
        <f>-'Cash Flow Statement'!G48</f>
        <v>1328279</v>
      </c>
      <c r="I25" s="58">
        <f>AVERAGE(I21,I24)*I26</f>
        <v>1323125.8800000001</v>
      </c>
      <c r="J25" s="58">
        <f t="shared" ref="J25:M25" si="5">AVERAGE(J21,J24)*J26</f>
        <v>1323125.8800000001</v>
      </c>
      <c r="K25" s="58">
        <f t="shared" si="5"/>
        <v>1323125.8800000001</v>
      </c>
      <c r="L25" s="58">
        <f t="shared" si="5"/>
        <v>1323125.8800000001</v>
      </c>
      <c r="M25" s="58">
        <f t="shared" si="5"/>
        <v>1323125.8800000001</v>
      </c>
    </row>
    <row r="26" spans="1:15" x14ac:dyDescent="0.3">
      <c r="A26" s="17"/>
      <c r="B26" s="23"/>
      <c r="C26" s="44"/>
      <c r="D26" s="62" t="s">
        <v>244</v>
      </c>
      <c r="E26" s="59"/>
      <c r="F26" s="59"/>
      <c r="G26" s="23"/>
      <c r="H26" s="67">
        <f>H25/H24</f>
        <v>4.0155786235546991E-2</v>
      </c>
      <c r="I26" s="68">
        <v>0.04</v>
      </c>
      <c r="J26" s="68">
        <v>0.04</v>
      </c>
      <c r="K26" s="68">
        <v>0.04</v>
      </c>
      <c r="L26" s="68">
        <v>0.04</v>
      </c>
      <c r="M26" s="68">
        <v>0.04</v>
      </c>
      <c r="O26" t="s">
        <v>253</v>
      </c>
    </row>
    <row r="27" spans="1:15" x14ac:dyDescent="0.3">
      <c r="A27" s="17"/>
      <c r="B27" s="23"/>
      <c r="C27" s="23"/>
      <c r="D27" s="23"/>
      <c r="E27" s="23"/>
      <c r="F27" s="23"/>
      <c r="G27" s="23"/>
      <c r="H27" s="58"/>
      <c r="I27" s="58"/>
      <c r="J27" s="58"/>
      <c r="K27" s="58"/>
      <c r="L27" s="58"/>
    </row>
    <row r="28" spans="1:15" x14ac:dyDescent="0.3">
      <c r="A28" s="17"/>
      <c r="B28" s="23"/>
      <c r="C28" s="43" t="s">
        <v>245</v>
      </c>
      <c r="D28" s="44"/>
      <c r="E28" s="23"/>
      <c r="F28" s="23"/>
      <c r="G28" s="23"/>
      <c r="H28" s="58"/>
      <c r="I28" s="69">
        <f>SUM(I14:I15)+SUM(I22:I23)</f>
        <v>0</v>
      </c>
      <c r="J28" s="69">
        <f t="shared" ref="J28:M28" si="6">SUM(J14:J15)+SUM(J22:J23)</f>
        <v>0</v>
      </c>
      <c r="K28" s="69">
        <f t="shared" si="6"/>
        <v>0</v>
      </c>
      <c r="L28" s="69">
        <f t="shared" si="6"/>
        <v>0</v>
      </c>
      <c r="M28" s="69">
        <f t="shared" si="6"/>
        <v>0</v>
      </c>
    </row>
    <row r="29" spans="1:15" x14ac:dyDescent="0.3">
      <c r="A29" s="17"/>
      <c r="B29" s="23"/>
      <c r="C29" s="43"/>
      <c r="D29" s="44"/>
      <c r="E29" s="23"/>
      <c r="F29" s="23"/>
      <c r="G29" s="23"/>
      <c r="H29" s="58"/>
      <c r="I29" s="69"/>
      <c r="J29" s="69"/>
      <c r="K29" s="69"/>
      <c r="L29" s="69"/>
      <c r="M29" s="69"/>
    </row>
    <row r="30" spans="1:15" x14ac:dyDescent="0.3">
      <c r="A30" s="17"/>
      <c r="B30" s="23"/>
      <c r="C30" s="43" t="s">
        <v>246</v>
      </c>
      <c r="D30" s="44"/>
      <c r="E30" s="23"/>
      <c r="F30" s="23"/>
      <c r="G30" s="23"/>
      <c r="H30" s="58"/>
      <c r="I30" s="69">
        <f>I17+I25</f>
        <v>1323125.8800000001</v>
      </c>
      <c r="J30" s="69">
        <f t="shared" ref="J30:M30" si="7">J17+J25</f>
        <v>1323125.8800000001</v>
      </c>
      <c r="K30" s="69">
        <f t="shared" si="7"/>
        <v>1323125.8800000001</v>
      </c>
      <c r="L30" s="69">
        <f t="shared" si="7"/>
        <v>1323125.8800000001</v>
      </c>
      <c r="M30" s="69">
        <f t="shared" si="7"/>
        <v>1323125.8800000001</v>
      </c>
    </row>
    <row r="31" spans="1:15" x14ac:dyDescent="0.3">
      <c r="A31" s="17"/>
      <c r="B31" s="23"/>
      <c r="C31" s="43"/>
      <c r="D31" s="44"/>
      <c r="E31" s="23"/>
      <c r="F31" s="23"/>
      <c r="G31" s="23"/>
      <c r="H31" s="58"/>
      <c r="I31" s="58"/>
      <c r="J31" s="58"/>
      <c r="K31" s="58"/>
      <c r="L31" s="58"/>
    </row>
    <row r="32" spans="1:15" x14ac:dyDescent="0.3">
      <c r="A32" s="17"/>
      <c r="B32" s="23"/>
      <c r="C32" s="43" t="s">
        <v>247</v>
      </c>
      <c r="D32" s="44"/>
      <c r="E32" s="65">
        <f>'Balance Sheet'!D22</f>
        <v>6731356</v>
      </c>
      <c r="F32" s="65">
        <f>'Balance Sheet'!E22</f>
        <v>2591442</v>
      </c>
      <c r="G32" s="65">
        <f>'Balance Sheet'!F22</f>
        <v>5239690</v>
      </c>
      <c r="H32" s="65">
        <f>'Balance Sheet'!G22</f>
        <v>9526423</v>
      </c>
      <c r="I32" s="65">
        <f ca="1">I6+I7+I28</f>
        <v>12706172.372434363</v>
      </c>
      <c r="J32" s="65">
        <f t="shared" ref="J32:M32" ca="1" si="8">J6+J7+J28</f>
        <v>16579931.703832213</v>
      </c>
      <c r="K32" s="65">
        <f t="shared" ca="1" si="8"/>
        <v>20935341.687579911</v>
      </c>
      <c r="L32" s="65">
        <f t="shared" ca="1" si="8"/>
        <v>25597717.689124085</v>
      </c>
      <c r="M32" s="65">
        <f t="shared" ca="1" si="8"/>
        <v>30797943.374203201</v>
      </c>
    </row>
    <row r="33" spans="1:15" x14ac:dyDescent="0.3">
      <c r="A33" s="17"/>
      <c r="B33" s="23"/>
      <c r="C33" s="44" t="s">
        <v>248</v>
      </c>
      <c r="D33" s="63"/>
      <c r="E33" s="65">
        <f>'Income Statement'!D30</f>
        <v>31199</v>
      </c>
      <c r="F33" s="65">
        <f>'Income Statement'!E30</f>
        <v>24174</v>
      </c>
      <c r="G33" s="65">
        <f>'Income Statement'!F30</f>
        <v>14964</v>
      </c>
      <c r="H33" s="65">
        <f>'Income Statement'!G30</f>
        <v>102592</v>
      </c>
      <c r="I33" s="70">
        <f ca="1">AVERAGE(I6,I32)*I34</f>
        <v>77814.083803520276</v>
      </c>
      <c r="J33" s="70">
        <f t="shared" ref="J33:M33" ca="1" si="9">AVERAGE(J6,J32)*J34</f>
        <v>102501.36426693301</v>
      </c>
      <c r="K33" s="70">
        <f t="shared" ca="1" si="9"/>
        <v>131303.45686994243</v>
      </c>
      <c r="L33" s="70">
        <f t="shared" ca="1" si="9"/>
        <v>162865.70781846397</v>
      </c>
      <c r="M33" s="70">
        <f t="shared" ca="1" si="9"/>
        <v>197384.81372164551</v>
      </c>
    </row>
    <row r="34" spans="1:15" x14ac:dyDescent="0.3">
      <c r="A34" s="17"/>
      <c r="B34" s="23"/>
      <c r="C34" s="44"/>
      <c r="D34" s="64" t="s">
        <v>249</v>
      </c>
      <c r="E34" s="6">
        <f t="shared" ref="E34:G34" si="10">E33/E32</f>
        <v>4.6348759447576385E-3</v>
      </c>
      <c r="F34" s="6">
        <f t="shared" si="10"/>
        <v>9.3283970854836813E-3</v>
      </c>
      <c r="G34" s="6">
        <f t="shared" si="10"/>
        <v>2.8558941464094248E-3</v>
      </c>
      <c r="H34" s="6">
        <f>H33/H32</f>
        <v>1.0769204768673404E-2</v>
      </c>
      <c r="I34" s="67">
        <v>7.0000000000000001E-3</v>
      </c>
      <c r="J34" s="67">
        <v>7.0000000000000001E-3</v>
      </c>
      <c r="K34" s="67">
        <v>7.0000000000000001E-3</v>
      </c>
      <c r="L34" s="67">
        <v>7.0000000000000001E-3</v>
      </c>
      <c r="M34" s="67">
        <v>7.0000000000000001E-3</v>
      </c>
      <c r="O34" t="s">
        <v>256</v>
      </c>
    </row>
    <row r="35" spans="1:15" x14ac:dyDescent="0.3">
      <c r="A35" s="17"/>
      <c r="B35" s="23"/>
      <c r="C35" s="43" t="s">
        <v>197</v>
      </c>
      <c r="D35" s="44"/>
      <c r="E35" s="23"/>
      <c r="F35" s="23"/>
      <c r="G35" s="23"/>
      <c r="H35" s="58"/>
      <c r="I35" s="58"/>
      <c r="J35" s="58"/>
      <c r="K35" s="58"/>
      <c r="L35" s="58"/>
    </row>
    <row r="36" spans="1:15" x14ac:dyDescent="0.3">
      <c r="A36" s="17"/>
      <c r="B36" s="58"/>
      <c r="C36" s="23"/>
      <c r="D36" s="23"/>
      <c r="E36" s="23"/>
      <c r="F36" s="23"/>
      <c r="G36" s="23"/>
      <c r="H36" s="58"/>
      <c r="I36" s="65"/>
      <c r="J36" s="65"/>
      <c r="K36" s="65"/>
      <c r="L36" s="65"/>
      <c r="M36" s="65"/>
    </row>
    <row r="37" spans="1:15" x14ac:dyDescent="0.3">
      <c r="A37" s="17"/>
      <c r="D37" s="23"/>
      <c r="E37" s="23"/>
      <c r="F37" s="23"/>
      <c r="G37" s="23"/>
      <c r="H37" s="58"/>
      <c r="I37" s="58"/>
      <c r="J37" s="58"/>
      <c r="K37" s="58"/>
      <c r="L37" s="58"/>
    </row>
    <row r="38" spans="1:15" x14ac:dyDescent="0.3">
      <c r="A38" s="17"/>
      <c r="C38" s="23" t="s">
        <v>231</v>
      </c>
      <c r="D38" s="23"/>
      <c r="E38" s="23"/>
      <c r="F38" s="23"/>
      <c r="G38" s="23"/>
      <c r="H38" s="58"/>
      <c r="I38" s="58"/>
      <c r="J38" s="58"/>
      <c r="K38" s="58"/>
      <c r="L38" s="58"/>
    </row>
    <row r="39" spans="1:15" x14ac:dyDescent="0.3">
      <c r="A39" s="17"/>
      <c r="C39" s="23" t="s">
        <v>232</v>
      </c>
      <c r="D39" s="23"/>
      <c r="E39" s="23"/>
      <c r="F39" s="23"/>
      <c r="G39" s="23"/>
      <c r="H39" s="58"/>
      <c r="I39" s="58"/>
      <c r="J39" s="58"/>
      <c r="K39" s="58"/>
      <c r="L39" s="58"/>
    </row>
    <row r="40" spans="1:15" x14ac:dyDescent="0.3">
      <c r="A40" s="17"/>
      <c r="C40" s="23"/>
      <c r="D40" s="23"/>
      <c r="E40" s="23"/>
      <c r="F40" s="23"/>
      <c r="G40" s="23"/>
      <c r="H40" s="58"/>
      <c r="I40" s="58"/>
      <c r="J40" s="58"/>
      <c r="K40" s="58"/>
      <c r="L40" s="58"/>
    </row>
    <row r="41" spans="1:15" x14ac:dyDescent="0.3">
      <c r="A41" s="17"/>
      <c r="B41" s="23"/>
      <c r="C41" s="23"/>
      <c r="D41" s="23"/>
      <c r="E41" s="23"/>
      <c r="F41" s="23"/>
      <c r="G41" s="23"/>
      <c r="H41" s="58"/>
      <c r="I41" s="58"/>
      <c r="J41" s="58"/>
      <c r="K41" s="58"/>
      <c r="L41" s="58"/>
    </row>
    <row r="42" spans="1:15" x14ac:dyDescent="0.3">
      <c r="A42" s="17"/>
      <c r="B42" s="23"/>
      <c r="C42" s="23"/>
      <c r="D42" s="23"/>
      <c r="E42" s="23"/>
      <c r="F42" s="23"/>
      <c r="G42" s="23"/>
      <c r="H42" s="58"/>
      <c r="I42" s="58"/>
      <c r="J42" s="58"/>
      <c r="K42" s="58"/>
      <c r="L42" s="58"/>
    </row>
  </sheetData>
  <mergeCells count="2">
    <mergeCell ref="E2:H2"/>
    <mergeCell ref="I2:M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AA927-F78D-4049-98ED-A08BCEA08C38}">
  <dimension ref="A2:P39"/>
  <sheetViews>
    <sheetView tabSelected="1" topLeftCell="A7" zoomScale="85" zoomScaleNormal="85" workbookViewId="0">
      <selection activeCell="E39" sqref="E39"/>
    </sheetView>
  </sheetViews>
  <sheetFormatPr defaultRowHeight="14.4" x14ac:dyDescent="0.3"/>
  <cols>
    <col min="2" max="2" width="40" customWidth="1"/>
    <col min="5" max="5" width="14.33203125" bestFit="1" customWidth="1"/>
    <col min="6" max="6" width="11" bestFit="1" customWidth="1"/>
    <col min="7" max="7" width="13.88671875" bestFit="1" customWidth="1"/>
    <col min="8" max="11" width="12.88671875" bestFit="1" customWidth="1"/>
    <col min="12" max="12" width="14.33203125" customWidth="1"/>
    <col min="15" max="15" width="10.5546875" customWidth="1"/>
  </cols>
  <sheetData>
    <row r="2" spans="1:11" x14ac:dyDescent="0.3">
      <c r="C2" s="180" t="s">
        <v>332</v>
      </c>
      <c r="D2" s="180"/>
      <c r="E2" s="180"/>
      <c r="F2" s="180"/>
      <c r="G2" s="178" t="s">
        <v>333</v>
      </c>
      <c r="H2" s="178"/>
      <c r="I2" s="178"/>
      <c r="J2" s="178"/>
      <c r="K2" s="179"/>
    </row>
    <row r="3" spans="1:11" ht="15" thickBot="1" x14ac:dyDescent="0.35">
      <c r="A3" s="17"/>
      <c r="B3" s="134" t="s">
        <v>331</v>
      </c>
      <c r="C3" s="136" t="s">
        <v>109</v>
      </c>
      <c r="D3" s="136" t="s">
        <v>110</v>
      </c>
      <c r="E3" s="136" t="s">
        <v>111</v>
      </c>
      <c r="F3" s="136" t="s">
        <v>112</v>
      </c>
      <c r="G3" s="136" t="s">
        <v>113</v>
      </c>
      <c r="H3" s="136" t="s">
        <v>114</v>
      </c>
      <c r="I3" s="136" t="s">
        <v>115</v>
      </c>
      <c r="J3" s="136" t="s">
        <v>116</v>
      </c>
      <c r="K3" s="136" t="s">
        <v>117</v>
      </c>
    </row>
    <row r="4" spans="1:11" x14ac:dyDescent="0.3">
      <c r="A4" s="17"/>
      <c r="B4" s="17"/>
      <c r="C4" s="17"/>
      <c r="D4" s="17"/>
      <c r="E4" s="17"/>
      <c r="F4" s="17"/>
      <c r="G4" s="17"/>
      <c r="H4" s="17"/>
      <c r="I4" s="17"/>
      <c r="J4" s="17"/>
      <c r="K4" s="17"/>
    </row>
    <row r="5" spans="1:11" x14ac:dyDescent="0.3">
      <c r="A5" s="17"/>
      <c r="B5" s="79" t="s">
        <v>283</v>
      </c>
      <c r="C5" s="80"/>
      <c r="D5" s="80"/>
      <c r="E5" s="17"/>
      <c r="F5" s="17"/>
      <c r="G5" s="17"/>
      <c r="H5" s="17"/>
      <c r="I5" s="17"/>
      <c r="J5" s="17"/>
      <c r="K5" s="17"/>
    </row>
    <row r="6" spans="1:11" x14ac:dyDescent="0.3">
      <c r="A6" s="17"/>
      <c r="B6" s="80" t="s">
        <v>284</v>
      </c>
      <c r="C6" s="17"/>
      <c r="D6" s="80"/>
      <c r="E6" s="17"/>
      <c r="F6" s="17"/>
      <c r="G6" s="18">
        <f>'Income Statement'!H27</f>
        <v>6968159.0879999995</v>
      </c>
      <c r="H6" s="18">
        <f>'Income Statement'!I27</f>
        <v>7664974.9968000054</v>
      </c>
      <c r="I6" s="18">
        <f>'Income Statement'!J27</f>
        <v>8431472.496480003</v>
      </c>
      <c r="J6" s="18">
        <f>'Income Statement'!K27</f>
        <v>9274619.7461280078</v>
      </c>
      <c r="K6" s="18">
        <f>'Income Statement'!L27</f>
        <v>10202081.72074081</v>
      </c>
    </row>
    <row r="7" spans="1:11" x14ac:dyDescent="0.3">
      <c r="A7" s="17"/>
      <c r="B7" s="80" t="s">
        <v>285</v>
      </c>
      <c r="C7" s="17"/>
      <c r="D7" s="80"/>
      <c r="E7" s="17"/>
      <c r="F7" s="17"/>
      <c r="G7" s="46">
        <f>-Depreciation!H66</f>
        <v>-2728495.2</v>
      </c>
      <c r="H7" s="46">
        <f>-Depreciation!I66</f>
        <v>-2863045.3489571582</v>
      </c>
      <c r="I7" s="46">
        <f>-Depreciation!J66</f>
        <v>-3011050.5128100319</v>
      </c>
      <c r="J7" s="46">
        <f>-Depreciation!K66</f>
        <v>-3173856.1930481927</v>
      </c>
      <c r="K7" s="46">
        <f>-Depreciation!L66</f>
        <v>-3352942.4413101701</v>
      </c>
    </row>
    <row r="8" spans="1:11" x14ac:dyDescent="0.3">
      <c r="A8" s="17"/>
      <c r="B8" s="80" t="s">
        <v>286</v>
      </c>
      <c r="C8" s="17"/>
      <c r="D8" s="80"/>
      <c r="E8" s="17"/>
      <c r="F8" s="17"/>
      <c r="G8" s="9"/>
      <c r="H8" s="9"/>
      <c r="I8" s="9"/>
      <c r="J8" s="9"/>
      <c r="K8" s="9"/>
    </row>
    <row r="9" spans="1:11" x14ac:dyDescent="0.3">
      <c r="A9" s="17"/>
      <c r="B9" s="80" t="s">
        <v>287</v>
      </c>
      <c r="C9" s="17"/>
      <c r="D9" s="80"/>
      <c r="E9" s="17"/>
      <c r="F9" s="17"/>
      <c r="G9" s="9"/>
      <c r="H9" s="9"/>
      <c r="I9" s="9"/>
      <c r="J9" s="9"/>
      <c r="K9" s="9"/>
    </row>
    <row r="10" spans="1:11" x14ac:dyDescent="0.3">
      <c r="A10" s="17"/>
      <c r="B10" s="80" t="s">
        <v>288</v>
      </c>
      <c r="C10" s="17"/>
      <c r="D10" s="80"/>
      <c r="E10" s="17"/>
      <c r="F10" s="17"/>
      <c r="G10" s="46">
        <f>'Operating Working Capital'!I28</f>
        <v>-1592414.428506732</v>
      </c>
      <c r="H10" s="46">
        <f>'Operating Working Capital'!J28</f>
        <v>-1073690.3428506739</v>
      </c>
      <c r="I10" s="46">
        <f>'Operating Working Capital'!K28</f>
        <v>-1181059.3771357406</v>
      </c>
      <c r="J10" s="46">
        <f>'Operating Working Capital'!L28</f>
        <v>-1299165.3148493189</v>
      </c>
      <c r="K10" s="46">
        <f>'Operating Working Capital'!M28</f>
        <v>-1429081.8463342451</v>
      </c>
    </row>
    <row r="11" spans="1:11" x14ac:dyDescent="0.3">
      <c r="A11" s="17"/>
      <c r="B11" s="80" t="s">
        <v>289</v>
      </c>
      <c r="C11" s="17"/>
      <c r="D11" s="80"/>
      <c r="E11" s="17"/>
      <c r="F11" s="17"/>
      <c r="G11" s="46">
        <f>'Cash Flow Statement'!H29</f>
        <v>-1742039.7720000001</v>
      </c>
      <c r="H11" s="46">
        <f>'Cash Flow Statement'!I29</f>
        <v>-1916243.7492000004</v>
      </c>
      <c r="I11" s="46">
        <f>'Cash Flow Statement'!J29</f>
        <v>-2107868.1241200007</v>
      </c>
      <c r="J11" s="46">
        <f>'Cash Flow Statement'!K29</f>
        <v>-2318654.936532001</v>
      </c>
      <c r="K11" s="46">
        <f>'Cash Flow Statement'!L29</f>
        <v>-2550520.4301852011</v>
      </c>
    </row>
    <row r="12" spans="1:11" x14ac:dyDescent="0.3">
      <c r="A12" s="17"/>
      <c r="B12" s="80" t="s">
        <v>290</v>
      </c>
      <c r="C12" s="17"/>
      <c r="D12" s="80"/>
      <c r="E12" s="17"/>
      <c r="F12" s="17"/>
      <c r="G12" s="46">
        <f>-'Income Statement'!H38</f>
        <v>-12427</v>
      </c>
      <c r="H12" s="46">
        <f>-'Income Statement'!I38</f>
        <v>-12427</v>
      </c>
      <c r="I12" s="46">
        <f>-'Income Statement'!J38</f>
        <v>-12427</v>
      </c>
      <c r="J12" s="46">
        <f ca="1">-'Income Statement'!K38</f>
        <v>-973723.14887357655</v>
      </c>
      <c r="K12" s="46">
        <f ca="1">-'Income Statement'!L38</f>
        <v>-1089160.8785354944</v>
      </c>
    </row>
    <row r="13" spans="1:11" x14ac:dyDescent="0.3">
      <c r="A13" s="17"/>
      <c r="B13" s="79" t="s">
        <v>291</v>
      </c>
      <c r="C13" s="79"/>
      <c r="D13" s="79"/>
      <c r="E13" s="17"/>
      <c r="F13" s="17"/>
      <c r="G13" s="18">
        <f>SUM(G6:G12)</f>
        <v>892782.68749326724</v>
      </c>
      <c r="H13" s="18">
        <f t="shared" ref="H13:K13" si="0">SUM(H6:H12)</f>
        <v>1799568.5557921724</v>
      </c>
      <c r="I13" s="18">
        <f t="shared" si="0"/>
        <v>2119067.4824142298</v>
      </c>
      <c r="J13" s="18">
        <f t="shared" ca="1" si="0"/>
        <v>1509220.1528249192</v>
      </c>
      <c r="K13" s="18">
        <f t="shared" ca="1" si="0"/>
        <v>1780376.1243756993</v>
      </c>
    </row>
    <row r="14" spans="1:11" x14ac:dyDescent="0.3">
      <c r="A14" s="17"/>
      <c r="B14" s="17"/>
      <c r="C14" s="17"/>
      <c r="D14" s="80"/>
      <c r="E14" s="17"/>
      <c r="F14" s="17"/>
      <c r="G14" s="17"/>
      <c r="H14" s="17"/>
      <c r="I14" s="17"/>
      <c r="J14" s="17"/>
      <c r="K14" s="17"/>
    </row>
    <row r="15" spans="1:11" x14ac:dyDescent="0.3">
      <c r="A15" s="17"/>
      <c r="B15" s="79" t="s">
        <v>292</v>
      </c>
      <c r="C15" s="79"/>
      <c r="D15" s="80"/>
      <c r="E15" s="17"/>
      <c r="F15" s="17"/>
      <c r="G15" s="17"/>
      <c r="H15" s="17"/>
      <c r="I15" s="17"/>
      <c r="J15" s="17"/>
      <c r="K15" s="17"/>
    </row>
    <row r="16" spans="1:11" ht="15" thickBot="1" x14ac:dyDescent="0.35">
      <c r="A16" s="17"/>
      <c r="B16" s="80" t="s">
        <v>293</v>
      </c>
      <c r="C16" s="17"/>
      <c r="D16" s="80"/>
      <c r="E16" s="17"/>
      <c r="F16" s="17"/>
      <c r="G16" s="17">
        <v>1</v>
      </c>
      <c r="H16" s="17">
        <v>2</v>
      </c>
      <c r="I16" s="17">
        <v>3</v>
      </c>
      <c r="J16" s="17">
        <v>4</v>
      </c>
      <c r="K16" s="17">
        <v>5</v>
      </c>
    </row>
    <row r="17" spans="1:16" ht="15" thickBot="1" x14ac:dyDescent="0.35">
      <c r="A17" s="17"/>
      <c r="B17" s="80" t="s">
        <v>294</v>
      </c>
      <c r="C17" s="17"/>
      <c r="D17" s="80"/>
      <c r="E17" s="17"/>
      <c r="F17" s="122">
        <f>L28</f>
        <v>0.11302361920343151</v>
      </c>
      <c r="G17" s="36">
        <f>G13/(1+$F$17)^G16</f>
        <v>802123.75738460408</v>
      </c>
      <c r="H17" s="36">
        <f t="shared" ref="H17:K17" si="1">H13/(1+$F$17)^H16</f>
        <v>1452645.4731992465</v>
      </c>
      <c r="I17" s="36">
        <f t="shared" si="1"/>
        <v>1536850.581270087</v>
      </c>
      <c r="J17" s="36">
        <f t="shared" ca="1" si="1"/>
        <v>983411.02716039319</v>
      </c>
      <c r="K17" s="36">
        <f t="shared" ca="1" si="1"/>
        <v>1042293.0913161831</v>
      </c>
    </row>
    <row r="18" spans="1:16" x14ac:dyDescent="0.3">
      <c r="A18" s="17"/>
      <c r="B18" s="79" t="s">
        <v>295</v>
      </c>
      <c r="C18" s="17"/>
      <c r="D18" s="17"/>
      <c r="E18" s="17"/>
      <c r="F18" s="17"/>
      <c r="G18" s="36">
        <f ca="1">SUM(G17:K17)</f>
        <v>5817323.930330514</v>
      </c>
      <c r="H18" s="17"/>
      <c r="I18" s="17"/>
      <c r="J18" s="17"/>
      <c r="K18" s="17"/>
    </row>
    <row r="19" spans="1:16" x14ac:dyDescent="0.3">
      <c r="A19" s="17"/>
      <c r="B19" s="79"/>
      <c r="C19" s="17"/>
      <c r="D19" s="17"/>
      <c r="E19" s="17"/>
      <c r="F19" s="17"/>
      <c r="G19" s="17"/>
      <c r="H19" s="17"/>
      <c r="I19" s="17"/>
      <c r="J19" s="17"/>
      <c r="K19" s="17"/>
    </row>
    <row r="20" spans="1:16" x14ac:dyDescent="0.3">
      <c r="A20" s="17"/>
      <c r="B20" s="77" t="s">
        <v>296</v>
      </c>
      <c r="C20" s="78"/>
      <c r="D20" s="78"/>
      <c r="E20" s="78"/>
      <c r="F20" s="81"/>
      <c r="G20" s="82"/>
      <c r="H20" s="82"/>
      <c r="I20" s="82"/>
      <c r="J20" s="83"/>
      <c r="K20" s="83"/>
      <c r="N20" s="84"/>
      <c r="O20" s="84"/>
    </row>
    <row r="21" spans="1:16" x14ac:dyDescent="0.3">
      <c r="A21" s="17"/>
      <c r="B21" s="85" t="s">
        <v>297</v>
      </c>
      <c r="C21" s="86"/>
      <c r="D21" s="86"/>
      <c r="E21" s="86"/>
      <c r="F21" s="87"/>
      <c r="G21" s="82"/>
      <c r="H21" s="82"/>
      <c r="I21" s="82"/>
      <c r="J21" s="85" t="s">
        <v>298</v>
      </c>
      <c r="K21" s="88"/>
      <c r="L21" s="88"/>
      <c r="M21" s="88"/>
      <c r="N21" s="88"/>
      <c r="O21" s="89"/>
    </row>
    <row r="22" spans="1:16" ht="15" thickBot="1" x14ac:dyDescent="0.35">
      <c r="B22" s="90"/>
      <c r="C22" s="91" t="s">
        <v>299</v>
      </c>
      <c r="D22" s="78"/>
      <c r="E22" s="78"/>
      <c r="F22" s="125">
        <f>K6+K7</f>
        <v>6849139.2794306399</v>
      </c>
      <c r="G22" s="78"/>
      <c r="H22" s="82"/>
      <c r="I22" s="78"/>
      <c r="J22" s="92" t="s">
        <v>300</v>
      </c>
      <c r="K22" s="78"/>
      <c r="L22" s="124">
        <v>1.6E-2</v>
      </c>
      <c r="M22" s="93" t="s">
        <v>325</v>
      </c>
      <c r="N22" s="78"/>
      <c r="O22" s="94">
        <f>'Balance Sheet'!G27+'Balance Sheet'!G37</f>
        <v>33078147</v>
      </c>
      <c r="P22" t="s">
        <v>326</v>
      </c>
    </row>
    <row r="23" spans="1:16" ht="15" thickBot="1" x14ac:dyDescent="0.35">
      <c r="B23" s="90"/>
      <c r="C23" s="91" t="s">
        <v>301</v>
      </c>
      <c r="D23" s="78"/>
      <c r="E23" s="78"/>
      <c r="F23" s="95">
        <f>(O22+O25-'Balance Sheet'!G22)/(K6+K7)</f>
        <v>17.557057485479589</v>
      </c>
      <c r="G23" s="82" t="s">
        <v>329</v>
      </c>
      <c r="H23" s="82"/>
      <c r="I23" s="78"/>
      <c r="J23" s="92" t="s">
        <v>302</v>
      </c>
      <c r="K23" s="78"/>
      <c r="L23" s="124">
        <v>6.6500000000000004E-2</v>
      </c>
      <c r="M23" s="92" t="s">
        <v>303</v>
      </c>
      <c r="N23" s="78"/>
      <c r="O23" s="96">
        <v>18.62</v>
      </c>
    </row>
    <row r="24" spans="1:16" x14ac:dyDescent="0.3">
      <c r="B24" s="90"/>
      <c r="C24" s="91" t="s">
        <v>296</v>
      </c>
      <c r="D24" s="78"/>
      <c r="E24" s="78"/>
      <c r="F24" s="128">
        <f>F22*F23</f>
        <v>120250732.05502</v>
      </c>
      <c r="G24" s="82" t="s">
        <v>330</v>
      </c>
      <c r="H24" s="82"/>
      <c r="I24" s="78"/>
      <c r="J24" s="92" t="s">
        <v>304</v>
      </c>
      <c r="K24" s="78"/>
      <c r="L24" s="97">
        <v>1.33</v>
      </c>
      <c r="M24" s="92" t="s">
        <v>305</v>
      </c>
      <c r="N24" s="78"/>
      <c r="O24" s="98">
        <f>'Income Statement'!G50</f>
        <v>5193.2872209999996</v>
      </c>
      <c r="P24" t="s">
        <v>327</v>
      </c>
    </row>
    <row r="25" spans="1:16" x14ac:dyDescent="0.3">
      <c r="B25" s="99"/>
      <c r="C25" s="100" t="s">
        <v>306</v>
      </c>
      <c r="D25" s="101"/>
      <c r="E25" s="101"/>
      <c r="F25" s="102">
        <f>F24/(1+F17)^K16</f>
        <v>70398892.419775009</v>
      </c>
      <c r="G25" s="103"/>
      <c r="H25" s="82"/>
      <c r="I25" s="78"/>
      <c r="J25" s="93" t="s">
        <v>307</v>
      </c>
      <c r="K25" s="78"/>
      <c r="L25" s="104">
        <f>L22+L23*L24</f>
        <v>0.10444500000000001</v>
      </c>
      <c r="M25" s="93" t="s">
        <v>308</v>
      </c>
      <c r="N25" s="78"/>
      <c r="O25" s="126">
        <f>O23*O24*1000</f>
        <v>96699008.05501999</v>
      </c>
    </row>
    <row r="26" spans="1:16" x14ac:dyDescent="0.3">
      <c r="B26" s="85" t="s">
        <v>309</v>
      </c>
      <c r="C26" s="86"/>
      <c r="D26" s="86"/>
      <c r="E26" s="86"/>
      <c r="F26" s="87"/>
      <c r="G26" s="82"/>
      <c r="H26" s="82"/>
      <c r="I26" s="78"/>
      <c r="J26" s="93" t="s">
        <v>310</v>
      </c>
      <c r="K26" s="78"/>
      <c r="L26" s="123">
        <f>'Debt Schedule'!I26</f>
        <v>0.04</v>
      </c>
      <c r="M26" s="90"/>
      <c r="N26" s="78"/>
      <c r="O26" s="105"/>
    </row>
    <row r="27" spans="1:16" ht="15" thickBot="1" x14ac:dyDescent="0.35">
      <c r="B27" s="106"/>
      <c r="C27" s="107" t="s">
        <v>283</v>
      </c>
      <c r="D27" s="108"/>
      <c r="E27" s="108"/>
      <c r="F27" s="109">
        <f ca="1">K13</f>
        <v>1780376.1243756993</v>
      </c>
      <c r="G27" s="78"/>
      <c r="H27" s="82"/>
      <c r="I27" s="78"/>
      <c r="J27" s="90"/>
      <c r="K27" s="78"/>
      <c r="L27" s="78"/>
      <c r="M27" s="90"/>
      <c r="N27" s="78"/>
      <c r="O27" s="105"/>
    </row>
    <row r="28" spans="1:16" ht="15" thickBot="1" x14ac:dyDescent="0.35">
      <c r="B28" s="90"/>
      <c r="C28" s="91" t="s">
        <v>311</v>
      </c>
      <c r="D28" s="78"/>
      <c r="E28" s="78"/>
      <c r="F28" s="110">
        <v>0.02</v>
      </c>
      <c r="G28" s="82"/>
      <c r="H28" s="82"/>
      <c r="I28" s="78"/>
      <c r="J28" s="111" t="s">
        <v>312</v>
      </c>
      <c r="K28" s="101"/>
      <c r="L28" s="127">
        <f>L25*O25/(O22+O25)+L26*(1-'Income Statement'!K39)*O22/(+O22)</f>
        <v>0.11302361920343151</v>
      </c>
      <c r="M28" s="99"/>
      <c r="N28" s="101" t="s">
        <v>328</v>
      </c>
      <c r="O28" s="112"/>
    </row>
    <row r="29" spans="1:16" x14ac:dyDescent="0.3">
      <c r="B29" s="90"/>
      <c r="C29" s="91" t="s">
        <v>296</v>
      </c>
      <c r="D29" s="78"/>
      <c r="E29" s="78"/>
      <c r="F29" s="113">
        <f ca="1">F27*(1+F28)/(F17-F28)</f>
        <v>19521747.943303246</v>
      </c>
      <c r="G29" s="114"/>
      <c r="H29" s="82"/>
      <c r="I29" s="78"/>
      <c r="J29" s="84"/>
      <c r="K29" s="84"/>
      <c r="L29" s="84"/>
      <c r="M29" s="84"/>
      <c r="N29" s="84"/>
      <c r="O29" s="84"/>
    </row>
    <row r="30" spans="1:16" x14ac:dyDescent="0.3">
      <c r="B30" s="99"/>
      <c r="C30" s="100" t="s">
        <v>306</v>
      </c>
      <c r="D30" s="101"/>
      <c r="E30" s="101"/>
      <c r="F30" s="115">
        <f ca="1">F29/(1+F17)^K16</f>
        <v>11428699.100790191</v>
      </c>
      <c r="G30" s="103"/>
      <c r="H30" s="82"/>
      <c r="I30" s="78"/>
      <c r="J30" s="84" t="s">
        <v>313</v>
      </c>
      <c r="K30" s="84"/>
      <c r="L30" s="84"/>
      <c r="M30" s="84"/>
      <c r="N30" s="84"/>
      <c r="O30" s="84"/>
    </row>
    <row r="31" spans="1:16" x14ac:dyDescent="0.3">
      <c r="B31" s="78"/>
      <c r="C31" s="78"/>
      <c r="D31" s="78"/>
      <c r="E31" s="78"/>
      <c r="F31" s="78"/>
      <c r="G31" s="78"/>
      <c r="H31" s="78"/>
      <c r="I31" s="78"/>
      <c r="J31" s="78"/>
      <c r="K31" s="78"/>
      <c r="L31" s="78"/>
      <c r="M31" s="78"/>
      <c r="N31" s="78"/>
      <c r="O31" s="78"/>
    </row>
    <row r="32" spans="1:16" x14ac:dyDescent="0.3">
      <c r="B32" s="85" t="s">
        <v>314</v>
      </c>
      <c r="C32" s="86"/>
      <c r="D32" s="86"/>
      <c r="E32" s="116" t="s">
        <v>315</v>
      </c>
      <c r="F32" s="117" t="s">
        <v>309</v>
      </c>
      <c r="G32" s="82"/>
      <c r="H32" s="82"/>
      <c r="I32" s="78"/>
      <c r="J32" s="84" t="s">
        <v>316</v>
      </c>
      <c r="K32" s="84"/>
      <c r="L32" s="84"/>
      <c r="M32" s="84"/>
      <c r="N32" s="84"/>
      <c r="O32" s="84"/>
    </row>
    <row r="33" spans="2:15" x14ac:dyDescent="0.3">
      <c r="B33" s="90" t="s">
        <v>317</v>
      </c>
      <c r="C33" s="130"/>
      <c r="D33" s="130"/>
      <c r="E33" s="131">
        <f ca="1">G18</f>
        <v>5817323.930330514</v>
      </c>
      <c r="F33" s="125">
        <f ca="1">G18</f>
        <v>5817323.930330514</v>
      </c>
      <c r="G33" s="84" t="s">
        <v>318</v>
      </c>
      <c r="H33" s="84"/>
      <c r="I33" s="84"/>
      <c r="J33" s="84" t="s">
        <v>319</v>
      </c>
      <c r="K33" s="84"/>
      <c r="L33" s="84"/>
      <c r="M33" s="84"/>
      <c r="N33" s="84"/>
      <c r="O33" s="84"/>
    </row>
    <row r="34" spans="2:15" x14ac:dyDescent="0.3">
      <c r="B34" s="90" t="s">
        <v>320</v>
      </c>
      <c r="C34" s="130"/>
      <c r="D34" s="130"/>
      <c r="E34" s="131">
        <f>F25</f>
        <v>70398892.419775009</v>
      </c>
      <c r="F34" s="125">
        <f ca="1">F30</f>
        <v>11428699.100790191</v>
      </c>
      <c r="G34" s="84"/>
      <c r="H34" s="84"/>
      <c r="I34" s="84"/>
      <c r="J34" s="84"/>
      <c r="K34" s="84"/>
      <c r="L34" s="84"/>
      <c r="M34" s="84"/>
      <c r="N34" s="118"/>
      <c r="O34" s="118"/>
    </row>
    <row r="35" spans="2:15" x14ac:dyDescent="0.3">
      <c r="B35" s="93" t="s">
        <v>321</v>
      </c>
      <c r="C35" s="130"/>
      <c r="D35" s="130"/>
      <c r="E35" s="132">
        <f ca="1">SUM(E33:E34)</f>
        <v>76216216.350105524</v>
      </c>
      <c r="F35" s="129">
        <f ca="1">SUM(F33:F34)</f>
        <v>17246023.031120706</v>
      </c>
      <c r="G35" s="84"/>
      <c r="H35" s="84"/>
      <c r="I35" s="84"/>
      <c r="J35" s="84"/>
      <c r="K35" s="84"/>
      <c r="L35" s="84"/>
      <c r="M35" s="84"/>
      <c r="N35" s="84"/>
      <c r="O35" s="84"/>
    </row>
    <row r="36" spans="2:15" x14ac:dyDescent="0.3">
      <c r="B36" s="90" t="s">
        <v>322</v>
      </c>
      <c r="C36" s="130"/>
      <c r="D36" s="130"/>
      <c r="E36" s="131">
        <f>O22-'Balance Sheet'!G22</f>
        <v>23551724</v>
      </c>
      <c r="F36" s="125">
        <f>O22-'Balance Sheet'!G22</f>
        <v>23551724</v>
      </c>
      <c r="G36" s="84" t="s">
        <v>318</v>
      </c>
      <c r="H36" s="84"/>
      <c r="I36" s="84"/>
      <c r="J36" s="84"/>
      <c r="K36" s="84"/>
      <c r="L36" s="84"/>
      <c r="M36" s="84"/>
      <c r="N36" s="84"/>
      <c r="O36" s="84"/>
    </row>
    <row r="37" spans="2:15" x14ac:dyDescent="0.3">
      <c r="B37" s="93" t="s">
        <v>308</v>
      </c>
      <c r="C37" s="133"/>
      <c r="D37" s="133"/>
      <c r="E37" s="132">
        <f ca="1">E35-E36</f>
        <v>52664492.350105524</v>
      </c>
      <c r="F37" s="129">
        <f ca="1">F35-F36</f>
        <v>-6305700.9688792937</v>
      </c>
      <c r="G37" s="84"/>
      <c r="H37" s="84"/>
      <c r="I37" s="84"/>
      <c r="J37" s="84"/>
      <c r="K37" s="84"/>
      <c r="L37" s="84"/>
      <c r="M37" s="84"/>
      <c r="N37" s="84"/>
      <c r="O37" s="84"/>
    </row>
    <row r="38" spans="2:15" x14ac:dyDescent="0.3">
      <c r="B38" s="90" t="s">
        <v>323</v>
      </c>
      <c r="C38" s="130"/>
      <c r="D38" s="130"/>
      <c r="E38" s="131">
        <f>O24*1000</f>
        <v>5193287.2209999999</v>
      </c>
      <c r="F38" s="125">
        <f>O24*1000</f>
        <v>5193287.2209999999</v>
      </c>
      <c r="G38" s="84" t="s">
        <v>318</v>
      </c>
      <c r="H38" s="84"/>
      <c r="I38" s="84"/>
      <c r="J38" s="84"/>
      <c r="K38" s="84"/>
      <c r="L38" s="84"/>
      <c r="M38" s="84"/>
      <c r="N38" s="119"/>
      <c r="O38" s="119"/>
    </row>
    <row r="39" spans="2:15" x14ac:dyDescent="0.3">
      <c r="B39" s="111" t="s">
        <v>324</v>
      </c>
      <c r="C39" s="120"/>
      <c r="D39" s="120"/>
      <c r="E39" s="137">
        <f ca="1">E37/E38</f>
        <v>10.140878042937253</v>
      </c>
      <c r="F39" s="121">
        <f ca="1">F37/F38</f>
        <v>-1.2142022384937707</v>
      </c>
      <c r="G39" s="84"/>
      <c r="H39" s="84"/>
      <c r="I39" s="84"/>
      <c r="J39" s="84"/>
      <c r="K39" s="84"/>
      <c r="L39" s="84"/>
      <c r="M39" s="84"/>
      <c r="N39" s="84"/>
      <c r="O39" s="84"/>
    </row>
  </sheetData>
  <mergeCells count="2">
    <mergeCell ref="C2:F2"/>
    <mergeCell ref="G2:K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Cover</vt:lpstr>
      <vt:lpstr>Income Statement</vt:lpstr>
      <vt:lpstr>Balance Sheet</vt:lpstr>
      <vt:lpstr>Cash Flow Statement</vt:lpstr>
      <vt:lpstr>Depreciation</vt:lpstr>
      <vt:lpstr>Operating Working Capital</vt:lpstr>
      <vt:lpstr>Debt Schedule</vt:lpstr>
      <vt:lpstr>DCF Analysis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2019-07-13T10:15:22Z</dcterms:modified>
</cp:coreProperties>
</file>