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 tabRatio="727"/>
  </bookViews>
  <sheets>
    <sheet name="Income Statement" sheetId="1" r:id="rId1"/>
    <sheet name="Balance Sheet" sheetId="2" r:id="rId2"/>
    <sheet name="Cash Flow Statement" sheetId="3" r:id="rId3"/>
    <sheet name="Operating Working Capital" sheetId="5" r:id="rId4"/>
    <sheet name="Depreciation" sheetId="6" r:id="rId5"/>
    <sheet name="Debt Schedule" sheetId="7" r:id="rId6"/>
    <sheet name="DCF" sheetId="8" r:id="rId7"/>
    <sheet name="Notes" sheetId="4" r:id="rId8"/>
  </sheet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8" l="1"/>
  <c r="J51" i="1"/>
  <c r="E38" i="8" l="1"/>
  <c r="G21" i="5" l="1"/>
  <c r="H21" i="5"/>
  <c r="F21" i="5"/>
  <c r="O25" i="8"/>
  <c r="K21" i="5"/>
  <c r="L21" i="5"/>
  <c r="M21" i="5"/>
  <c r="J21" i="5"/>
  <c r="J22" i="5" s="1"/>
  <c r="N25" i="1"/>
  <c r="L6" i="5"/>
  <c r="L7" i="5"/>
  <c r="M7" i="5"/>
  <c r="L25" i="8" l="1"/>
  <c r="L26" i="8"/>
  <c r="E36" i="8"/>
  <c r="F36" i="8"/>
  <c r="F38" i="8"/>
  <c r="L28" i="8"/>
  <c r="H7" i="8"/>
  <c r="I7" i="8"/>
  <c r="J7" i="8"/>
  <c r="G7" i="8"/>
  <c r="O22" i="8"/>
  <c r="J14" i="3"/>
  <c r="K62" i="3"/>
  <c r="L62" i="3"/>
  <c r="M62" i="3"/>
  <c r="J62" i="3"/>
  <c r="K28" i="3"/>
  <c r="H12" i="8" s="1"/>
  <c r="L28" i="3"/>
  <c r="I12" i="8" s="1"/>
  <c r="M28" i="3"/>
  <c r="J28" i="3"/>
  <c r="K36" i="1"/>
  <c r="K57" i="1"/>
  <c r="J12" i="8"/>
  <c r="G12" i="8"/>
  <c r="H11" i="8"/>
  <c r="I11" i="8"/>
  <c r="J11" i="8"/>
  <c r="G11" i="8"/>
  <c r="G22" i="5"/>
  <c r="H22" i="5"/>
  <c r="F17" i="8" l="1"/>
  <c r="M31" i="2"/>
  <c r="N31" i="2"/>
  <c r="N36" i="2" s="1"/>
  <c r="L31" i="2"/>
  <c r="L36" i="2" s="1"/>
  <c r="K31" i="2"/>
  <c r="K36" i="2" s="1"/>
  <c r="H36" i="2"/>
  <c r="I36" i="2"/>
  <c r="M36" i="2"/>
  <c r="K51" i="2"/>
  <c r="K21" i="2"/>
  <c r="K22" i="2"/>
  <c r="K23" i="2"/>
  <c r="K27" i="2"/>
  <c r="L26" i="2"/>
  <c r="K26" i="2"/>
  <c r="K40" i="2"/>
  <c r="K41" i="2"/>
  <c r="K42" i="2"/>
  <c r="L43" i="2"/>
  <c r="K43" i="2"/>
  <c r="K47" i="2"/>
  <c r="K25" i="1"/>
  <c r="K24" i="1"/>
  <c r="K10" i="1"/>
  <c r="K11" i="1" s="1"/>
  <c r="K5" i="1" s="1"/>
  <c r="L10" i="1"/>
  <c r="K9" i="1"/>
  <c r="K8" i="1"/>
  <c r="K7" i="1"/>
  <c r="K6" i="1"/>
  <c r="J53" i="3"/>
  <c r="J52" i="3"/>
  <c r="J12" i="3"/>
  <c r="J8" i="3"/>
  <c r="I6" i="5"/>
  <c r="K9" i="2" l="1"/>
  <c r="K7" i="2"/>
  <c r="L47" i="2"/>
  <c r="L35" i="2"/>
  <c r="K34" i="2"/>
  <c r="K33" i="2"/>
  <c r="K32" i="2"/>
  <c r="L27" i="2"/>
  <c r="M27" i="2" s="1"/>
  <c r="N27" i="2" s="1"/>
  <c r="K12" i="2"/>
  <c r="L12" i="2" s="1"/>
  <c r="M12" i="2" s="1"/>
  <c r="N12" i="2" s="1"/>
  <c r="L32" i="2"/>
  <c r="M32" i="2" s="1"/>
  <c r="K35" i="2"/>
  <c r="K15" i="2"/>
  <c r="K14" i="2"/>
  <c r="K13" i="2"/>
  <c r="K11" i="2"/>
  <c r="K10" i="2"/>
  <c r="K8" i="2"/>
  <c r="L42" i="2" l="1"/>
  <c r="L9" i="2"/>
  <c r="M9" i="2" s="1"/>
  <c r="N9" i="2" s="1"/>
  <c r="K15" i="7"/>
  <c r="L21" i="2"/>
  <c r="M21" i="2" s="1"/>
  <c r="N21" i="2" s="1"/>
  <c r="L15" i="2"/>
  <c r="M15" i="2" s="1"/>
  <c r="N15" i="2" s="1"/>
  <c r="L14" i="2"/>
  <c r="M14" i="2" s="1"/>
  <c r="N14" i="2" s="1"/>
  <c r="L13" i="2"/>
  <c r="M13" i="2" s="1"/>
  <c r="N13" i="2" s="1"/>
  <c r="L11" i="2"/>
  <c r="M11" i="2" s="1"/>
  <c r="N11" i="2" s="1"/>
  <c r="L10" i="2"/>
  <c r="L8" i="2"/>
  <c r="L7" i="2"/>
  <c r="F35" i="1"/>
  <c r="G35" i="1"/>
  <c r="E35" i="1"/>
  <c r="N32" i="2"/>
  <c r="L33" i="2"/>
  <c r="L41" i="2"/>
  <c r="M41" i="2" s="1"/>
  <c r="N41" i="2" s="1"/>
  <c r="L51" i="2"/>
  <c r="G15" i="7"/>
  <c r="L22" i="2"/>
  <c r="M22" i="2" s="1"/>
  <c r="N22" i="2" s="1"/>
  <c r="M26" i="2"/>
  <c r="N26" i="2" s="1"/>
  <c r="L40" i="2"/>
  <c r="M40" i="2" s="1"/>
  <c r="N40" i="2" s="1"/>
  <c r="M43" i="2"/>
  <c r="N43" i="2"/>
  <c r="M35" i="2"/>
  <c r="N35" i="2"/>
  <c r="M34" i="2"/>
  <c r="N34" i="2"/>
  <c r="L34" i="2"/>
  <c r="M10" i="2"/>
  <c r="N10" i="2" s="1"/>
  <c r="M33" i="2" l="1"/>
  <c r="M51" i="2"/>
  <c r="N51" i="2" s="1"/>
  <c r="M47" i="2"/>
  <c r="N47" i="2" s="1"/>
  <c r="M8" i="2"/>
  <c r="N8" i="2" s="1"/>
  <c r="M7" i="2"/>
  <c r="N7" i="2" s="1"/>
  <c r="L23" i="2"/>
  <c r="M23" i="2" s="1"/>
  <c r="N23" i="2" s="1"/>
  <c r="J13" i="7"/>
  <c r="K12" i="3"/>
  <c r="L12" i="3"/>
  <c r="M12" i="3"/>
  <c r="N33" i="2" l="1"/>
  <c r="G31" i="7" l="1"/>
  <c r="K46" i="3"/>
  <c r="L46" i="3"/>
  <c r="M46" i="3"/>
  <c r="J46" i="3"/>
  <c r="J13" i="3"/>
  <c r="I13" i="1"/>
  <c r="G13" i="1"/>
  <c r="G24" i="2"/>
  <c r="F24" i="2"/>
  <c r="H24" i="2"/>
  <c r="L24" i="1"/>
  <c r="G10" i="3"/>
  <c r="I47" i="3" l="1"/>
  <c r="K52" i="3"/>
  <c r="L52" i="3"/>
  <c r="M52" i="3"/>
  <c r="K53" i="3"/>
  <c r="L53" i="3"/>
  <c r="M53" i="3"/>
  <c r="M42" i="2" l="1"/>
  <c r="N42" i="2" s="1"/>
  <c r="K58" i="3"/>
  <c r="J58" i="3"/>
  <c r="L58" i="3"/>
  <c r="M58" i="3"/>
  <c r="K46" i="7"/>
  <c r="K38" i="7"/>
  <c r="G46" i="7"/>
  <c r="H46" i="7"/>
  <c r="F46" i="7"/>
  <c r="I45" i="7"/>
  <c r="H45" i="7"/>
  <c r="G45" i="7"/>
  <c r="F45" i="7"/>
  <c r="H42" i="7" l="1"/>
  <c r="G42" i="7"/>
  <c r="F42" i="7"/>
  <c r="F41" i="7"/>
  <c r="H41" i="7"/>
  <c r="G41" i="7"/>
  <c r="G38" i="7"/>
  <c r="H38" i="7"/>
  <c r="F38" i="7"/>
  <c r="H23" i="7" l="1"/>
  <c r="I20" i="7" s="1"/>
  <c r="I12" i="7"/>
  <c r="I15" i="7" s="1"/>
  <c r="I6" i="7"/>
  <c r="L27" i="7"/>
  <c r="K27" i="7"/>
  <c r="J27" i="7"/>
  <c r="I27" i="7"/>
  <c r="J12" i="7" l="1"/>
  <c r="I23" i="7"/>
  <c r="J20" i="7" s="1"/>
  <c r="I24" i="7"/>
  <c r="I16" i="7" l="1"/>
  <c r="I29" i="7" s="1"/>
  <c r="J29" i="3" s="1"/>
  <c r="J15" i="7"/>
  <c r="J23" i="7"/>
  <c r="K20" i="7" s="1"/>
  <c r="K29" i="1" l="1"/>
  <c r="J7" i="3" s="1"/>
  <c r="K12" i="7"/>
  <c r="L12" i="7" s="1"/>
  <c r="J16" i="7"/>
  <c r="J24" i="7"/>
  <c r="K23" i="7"/>
  <c r="L20" i="7" s="1"/>
  <c r="J29" i="7" l="1"/>
  <c r="K29" i="3" s="1"/>
  <c r="K16" i="7"/>
  <c r="L15" i="7"/>
  <c r="L16" i="7" s="1"/>
  <c r="L23" i="7"/>
  <c r="L24" i="7" s="1"/>
  <c r="K24" i="7"/>
  <c r="L29" i="1" l="1"/>
  <c r="K29" i="7"/>
  <c r="L29" i="3" s="1"/>
  <c r="L29" i="7"/>
  <c r="M29" i="3" s="1"/>
  <c r="N29" i="1" l="1"/>
  <c r="M29" i="1"/>
  <c r="H16" i="6"/>
  <c r="I16" i="6"/>
  <c r="J16" i="6"/>
  <c r="K16" i="6"/>
  <c r="I6" i="6" l="1"/>
  <c r="K33" i="3" s="1"/>
  <c r="J6" i="6"/>
  <c r="L33" i="3" s="1"/>
  <c r="H6" i="6"/>
  <c r="J33" i="3" s="1"/>
  <c r="G9" i="6"/>
  <c r="E9" i="6"/>
  <c r="F9" i="6"/>
  <c r="D9" i="6"/>
  <c r="G8" i="6"/>
  <c r="E8" i="6"/>
  <c r="F8" i="6"/>
  <c r="D8" i="6"/>
  <c r="E6" i="6"/>
  <c r="F6" i="6"/>
  <c r="G6" i="6"/>
  <c r="D6" i="6"/>
  <c r="I5" i="6"/>
  <c r="I15" i="6" s="1"/>
  <c r="J5" i="6"/>
  <c r="J15" i="6" s="1"/>
  <c r="K5" i="6"/>
  <c r="K15" i="6" s="1"/>
  <c r="G5" i="6"/>
  <c r="E5" i="6"/>
  <c r="F5" i="6"/>
  <c r="D5" i="6"/>
  <c r="G11" i="6" l="1"/>
  <c r="H11" i="6" s="1"/>
  <c r="H8" i="6" s="1"/>
  <c r="K26" i="1" s="1"/>
  <c r="J9" i="3" s="1"/>
  <c r="J7" i="6"/>
  <c r="I7" i="6"/>
  <c r="D10" i="6"/>
  <c r="E10" i="6"/>
  <c r="E11" i="6"/>
  <c r="G7" i="6"/>
  <c r="G10" i="6"/>
  <c r="F11" i="6"/>
  <c r="F10" i="6"/>
  <c r="K6" i="6"/>
  <c r="D7" i="6"/>
  <c r="F7" i="6"/>
  <c r="E7" i="6"/>
  <c r="N43" i="1"/>
  <c r="M43" i="1"/>
  <c r="L43" i="1"/>
  <c r="E56" i="1"/>
  <c r="J56" i="1"/>
  <c r="L28" i="1"/>
  <c r="K7" i="6" l="1"/>
  <c r="M33" i="3"/>
  <c r="H9" i="6"/>
  <c r="I11" i="6"/>
  <c r="L25" i="1"/>
  <c r="L46" i="1"/>
  <c r="H48" i="1"/>
  <c r="J11" i="6" l="1"/>
  <c r="K11" i="6" s="1"/>
  <c r="I8" i="6"/>
  <c r="I9" i="6" s="1"/>
  <c r="K27" i="1"/>
  <c r="J18" i="5"/>
  <c r="I18" i="5"/>
  <c r="I19" i="5"/>
  <c r="I14" i="5"/>
  <c r="I10" i="5"/>
  <c r="G6" i="5"/>
  <c r="H6" i="5"/>
  <c r="G10" i="5"/>
  <c r="H10" i="5"/>
  <c r="G14" i="5"/>
  <c r="H14" i="5"/>
  <c r="F14" i="5"/>
  <c r="F10" i="5"/>
  <c r="F6" i="5"/>
  <c r="I10" i="6" l="1"/>
  <c r="L26" i="1"/>
  <c r="I12" i="5"/>
  <c r="I11" i="5" s="1"/>
  <c r="J11" i="5" s="1"/>
  <c r="J8" i="6"/>
  <c r="M26" i="1" s="1"/>
  <c r="K8" i="6"/>
  <c r="I16" i="5"/>
  <c r="I15" i="5" s="1"/>
  <c r="I8" i="5"/>
  <c r="I7" i="5" s="1"/>
  <c r="J7" i="5" s="1"/>
  <c r="J6" i="5" s="1"/>
  <c r="G19" i="5"/>
  <c r="H19" i="5"/>
  <c r="F19" i="5"/>
  <c r="G18" i="5"/>
  <c r="G7" i="5" s="1"/>
  <c r="H18" i="5"/>
  <c r="H7" i="5" s="1"/>
  <c r="F18" i="5"/>
  <c r="J20" i="3" l="1"/>
  <c r="K19" i="2" s="1"/>
  <c r="K10" i="6"/>
  <c r="N26" i="1"/>
  <c r="J10" i="6"/>
  <c r="J9" i="6"/>
  <c r="K9" i="6" s="1"/>
  <c r="K7" i="5"/>
  <c r="H11" i="5"/>
  <c r="H15" i="5"/>
  <c r="G11" i="5"/>
  <c r="G15" i="5"/>
  <c r="F25" i="3"/>
  <c r="F30" i="3" s="1"/>
  <c r="G25" i="3"/>
  <c r="G30" i="3" s="1"/>
  <c r="K11" i="5" l="1"/>
  <c r="L11" i="5" s="1"/>
  <c r="M11" i="5" s="1"/>
  <c r="K7" i="3"/>
  <c r="L7" i="3"/>
  <c r="M7" i="3"/>
  <c r="K8" i="3"/>
  <c r="L8" i="3"/>
  <c r="M8" i="3"/>
  <c r="K9" i="3"/>
  <c r="L9" i="3"/>
  <c r="M9" i="3"/>
  <c r="K6" i="2"/>
  <c r="J6" i="2" s="1"/>
  <c r="H10" i="3"/>
  <c r="K16" i="2" l="1"/>
  <c r="L6" i="2"/>
  <c r="H9" i="3"/>
  <c r="H8" i="3"/>
  <c r="H7" i="3"/>
  <c r="H6" i="3"/>
  <c r="H17" i="3" l="1"/>
  <c r="H25" i="3" s="1"/>
  <c r="H30" i="3" s="1"/>
  <c r="M6" i="2"/>
  <c r="L16" i="2"/>
  <c r="L44" i="1"/>
  <c r="M44" i="1" s="1"/>
  <c r="N44" i="1" s="1"/>
  <c r="L32" i="1"/>
  <c r="K32" i="1"/>
  <c r="K45" i="1"/>
  <c r="L45" i="1" s="1"/>
  <c r="M45" i="1" s="1"/>
  <c r="N45" i="1" s="1"/>
  <c r="K44" i="1"/>
  <c r="K43" i="1"/>
  <c r="N6" i="2" l="1"/>
  <c r="N16" i="2" s="1"/>
  <c r="M16" i="2"/>
  <c r="J46" i="1"/>
  <c r="J48" i="1" s="1"/>
  <c r="M46" i="1"/>
  <c r="N46" i="1"/>
  <c r="G57" i="1"/>
  <c r="G55" i="1"/>
  <c r="L33" i="1"/>
  <c r="M33" i="1"/>
  <c r="N33" i="1"/>
  <c r="N32" i="1"/>
  <c r="M32" i="1"/>
  <c r="J32" i="1"/>
  <c r="J33" i="1"/>
  <c r="J28" i="1"/>
  <c r="J27" i="1"/>
  <c r="J25" i="1"/>
  <c r="J24" i="1"/>
  <c r="J7" i="1"/>
  <c r="N10" i="1"/>
  <c r="M10" i="1"/>
  <c r="J10" i="1"/>
  <c r="K46" i="1" l="1"/>
  <c r="K33" i="1"/>
  <c r="J6" i="1"/>
  <c r="H51" i="1"/>
  <c r="I51" i="1"/>
  <c r="H52" i="1"/>
  <c r="I52" i="1"/>
  <c r="J52" i="1" s="1"/>
  <c r="F51" i="1"/>
  <c r="G51" i="1"/>
  <c r="F52" i="1"/>
  <c r="G52" i="1"/>
  <c r="E52" i="1"/>
  <c r="E51" i="1"/>
  <c r="L51" i="1" l="1"/>
  <c r="N51" i="1"/>
  <c r="M51" i="1"/>
  <c r="J9" i="1"/>
  <c r="L52" i="1"/>
  <c r="M52" i="1"/>
  <c r="N52" i="1"/>
  <c r="I58" i="3"/>
  <c r="I44" i="2"/>
  <c r="I49" i="2"/>
  <c r="I52" i="2" s="1"/>
  <c r="I28" i="2"/>
  <c r="I16" i="2"/>
  <c r="I46" i="1"/>
  <c r="H46" i="1"/>
  <c r="H8" i="1"/>
  <c r="H11" i="1" s="1"/>
  <c r="I8" i="1"/>
  <c r="I11" i="1" s="1"/>
  <c r="I57" i="1" s="1"/>
  <c r="J57" i="1" s="1"/>
  <c r="F58" i="3"/>
  <c r="F47" i="3"/>
  <c r="G58" i="3"/>
  <c r="H58" i="3"/>
  <c r="G47" i="3"/>
  <c r="H47" i="3"/>
  <c r="H60" i="3" s="1"/>
  <c r="F49" i="2"/>
  <c r="F52" i="2" s="1"/>
  <c r="G49" i="2"/>
  <c r="G52" i="2" s="1"/>
  <c r="H49" i="2"/>
  <c r="H52" i="2" s="1"/>
  <c r="F44" i="2"/>
  <c r="G44" i="2"/>
  <c r="H44" i="2"/>
  <c r="F36" i="2"/>
  <c r="G36" i="2"/>
  <c r="F28" i="2"/>
  <c r="G28" i="2"/>
  <c r="H28" i="2"/>
  <c r="F16" i="2"/>
  <c r="G16" i="2"/>
  <c r="H16" i="2"/>
  <c r="G60" i="3" l="1"/>
  <c r="F60" i="3"/>
  <c r="F64" i="3" s="1"/>
  <c r="G61" i="3" s="1"/>
  <c r="J8" i="1"/>
  <c r="H5" i="6" s="1"/>
  <c r="J11" i="1"/>
  <c r="L6" i="1"/>
  <c r="L7" i="1" s="1"/>
  <c r="H54" i="1"/>
  <c r="H57" i="1"/>
  <c r="H55" i="1"/>
  <c r="H53" i="1"/>
  <c r="H56" i="1"/>
  <c r="H5" i="1"/>
  <c r="H35" i="1" s="1"/>
  <c r="I55" i="1"/>
  <c r="J55" i="1" s="1"/>
  <c r="I54" i="1"/>
  <c r="J54" i="1" s="1"/>
  <c r="I56" i="1"/>
  <c r="I53" i="1"/>
  <c r="J53" i="1" s="1"/>
  <c r="I5" i="1"/>
  <c r="E46" i="1"/>
  <c r="F46" i="1"/>
  <c r="G46" i="1"/>
  <c r="E8" i="1"/>
  <c r="E11" i="1" s="1"/>
  <c r="F8" i="1"/>
  <c r="F11" i="1" s="1"/>
  <c r="G8" i="1"/>
  <c r="G11" i="1" s="1"/>
  <c r="G64" i="3" l="1"/>
  <c r="H61" i="3" s="1"/>
  <c r="H64" i="3" s="1"/>
  <c r="J61" i="3" s="1"/>
  <c r="H7" i="6"/>
  <c r="H15" i="6"/>
  <c r="H10" i="6"/>
  <c r="K28" i="1"/>
  <c r="J19" i="5" s="1"/>
  <c r="J5" i="1"/>
  <c r="M6" i="1"/>
  <c r="L8" i="1"/>
  <c r="L9" i="1"/>
  <c r="I50" i="1"/>
  <c r="I35" i="1"/>
  <c r="I37" i="1" s="1"/>
  <c r="H37" i="1"/>
  <c r="G53" i="1"/>
  <c r="G56" i="1"/>
  <c r="G54" i="1"/>
  <c r="G5" i="1"/>
  <c r="F5" i="1"/>
  <c r="F57" i="1"/>
  <c r="F55" i="1"/>
  <c r="F53" i="1"/>
  <c r="F56" i="1"/>
  <c r="F54" i="1"/>
  <c r="E5" i="1"/>
  <c r="E54" i="1"/>
  <c r="E55" i="1"/>
  <c r="N55" i="1" s="1"/>
  <c r="E53" i="1"/>
  <c r="E57" i="1"/>
  <c r="J14" i="5" l="1"/>
  <c r="J10" i="5"/>
  <c r="M7" i="1"/>
  <c r="N6" i="1"/>
  <c r="N9" i="1" s="1"/>
  <c r="N57" i="1"/>
  <c r="M57" i="1"/>
  <c r="L57" i="1"/>
  <c r="L53" i="1"/>
  <c r="N53" i="1"/>
  <c r="M53" i="1"/>
  <c r="N54" i="1"/>
  <c r="J35" i="1"/>
  <c r="J37" i="1" s="1"/>
  <c r="M9" i="1"/>
  <c r="M8" i="1"/>
  <c r="L11" i="1"/>
  <c r="F50" i="1"/>
  <c r="G50" i="1"/>
  <c r="E50" i="1"/>
  <c r="H40" i="1"/>
  <c r="J22" i="3" l="1"/>
  <c r="K39" i="2" s="1"/>
  <c r="K44" i="2" s="1"/>
  <c r="K55" i="2" s="1"/>
  <c r="J21" i="3"/>
  <c r="K20" i="2" s="1"/>
  <c r="N7" i="1"/>
  <c r="K18" i="5"/>
  <c r="K6" i="5" s="1"/>
  <c r="L27" i="1"/>
  <c r="K19" i="5" s="1"/>
  <c r="J40" i="1"/>
  <c r="K37" i="1"/>
  <c r="L5" i="1"/>
  <c r="L36" i="1"/>
  <c r="N8" i="1"/>
  <c r="M11" i="1"/>
  <c r="E37" i="1"/>
  <c r="G37" i="1"/>
  <c r="I40" i="1"/>
  <c r="I48" i="1"/>
  <c r="K48" i="1" s="1"/>
  <c r="F37" i="1"/>
  <c r="G10" i="8" l="1"/>
  <c r="K20" i="3"/>
  <c r="L19" i="2"/>
  <c r="M24" i="1"/>
  <c r="M28" i="1"/>
  <c r="M25" i="1"/>
  <c r="L18" i="5" s="1"/>
  <c r="M27" i="1"/>
  <c r="L19" i="5" s="1"/>
  <c r="K10" i="5"/>
  <c r="K14" i="5"/>
  <c r="K22" i="5" s="1"/>
  <c r="H10" i="8" s="1"/>
  <c r="M5" i="1"/>
  <c r="M36" i="1"/>
  <c r="N11" i="1"/>
  <c r="E48" i="1"/>
  <c r="E40" i="1"/>
  <c r="F48" i="1"/>
  <c r="F40" i="1"/>
  <c r="G48" i="1"/>
  <c r="G40" i="1"/>
  <c r="K22" i="3" l="1"/>
  <c r="L39" i="2" s="1"/>
  <c r="L44" i="2" s="1"/>
  <c r="L55" i="2" s="1"/>
  <c r="L21" i="3"/>
  <c r="K21" i="3"/>
  <c r="L20" i="2" s="1"/>
  <c r="L20" i="3"/>
  <c r="M19" i="2" s="1"/>
  <c r="N27" i="1"/>
  <c r="N28" i="1"/>
  <c r="M18" i="5"/>
  <c r="M6" i="5" s="1"/>
  <c r="M20" i="3" s="1"/>
  <c r="N24" i="1"/>
  <c r="L14" i="5"/>
  <c r="L22" i="5" s="1"/>
  <c r="I10" i="8" s="1"/>
  <c r="L10" i="5"/>
  <c r="N5" i="1"/>
  <c r="N36" i="1"/>
  <c r="L22" i="3" l="1"/>
  <c r="M39" i="2" s="1"/>
  <c r="M44" i="2" s="1"/>
  <c r="M55" i="2" s="1"/>
  <c r="N19" i="2"/>
  <c r="M20" i="2"/>
  <c r="M19" i="5"/>
  <c r="M14" i="5" l="1"/>
  <c r="M22" i="5" s="1"/>
  <c r="J10" i="8" s="1"/>
  <c r="M10" i="5"/>
  <c r="M21" i="3" l="1"/>
  <c r="N20" i="2" s="1"/>
  <c r="M22" i="3"/>
  <c r="N39" i="2" s="1"/>
  <c r="N44" i="2" s="1"/>
  <c r="N55" i="2" s="1"/>
  <c r="K24" i="2"/>
  <c r="L24" i="2"/>
  <c r="M24" i="2"/>
  <c r="N24" i="2"/>
  <c r="K25" i="2"/>
  <c r="L25" i="2"/>
  <c r="M25" i="2"/>
  <c r="N25" i="2"/>
  <c r="K28" i="2"/>
  <c r="L28" i="2"/>
  <c r="M28" i="2"/>
  <c r="N28" i="2"/>
  <c r="K48" i="2"/>
  <c r="L48" i="2"/>
  <c r="M48" i="2"/>
  <c r="N48" i="2"/>
  <c r="K49" i="2"/>
  <c r="L49" i="2"/>
  <c r="M49" i="2"/>
  <c r="N49" i="2"/>
  <c r="K52" i="2"/>
  <c r="L52" i="2"/>
  <c r="M52" i="2"/>
  <c r="N52" i="2"/>
  <c r="K54" i="2"/>
  <c r="L54" i="2"/>
  <c r="M54" i="2"/>
  <c r="N54" i="2"/>
  <c r="K56" i="2"/>
  <c r="L56" i="2"/>
  <c r="M56" i="2"/>
  <c r="N56" i="2"/>
  <c r="K57" i="2"/>
  <c r="L57" i="2"/>
  <c r="M57" i="2"/>
  <c r="N57" i="2"/>
  <c r="K59" i="2"/>
  <c r="L59" i="2"/>
  <c r="M59" i="2"/>
  <c r="N59" i="2"/>
  <c r="L60" i="2"/>
  <c r="M60" i="2"/>
  <c r="N60" i="2"/>
  <c r="J6" i="3"/>
  <c r="K6" i="3"/>
  <c r="L6" i="3"/>
  <c r="M6" i="3"/>
  <c r="J10" i="3"/>
  <c r="K10" i="3"/>
  <c r="L10" i="3"/>
  <c r="M10" i="3"/>
  <c r="J11" i="3"/>
  <c r="K11" i="3"/>
  <c r="L11" i="3"/>
  <c r="M11" i="3"/>
  <c r="J17" i="3"/>
  <c r="K17" i="3"/>
  <c r="L17" i="3"/>
  <c r="M17" i="3"/>
  <c r="J25" i="3"/>
  <c r="K25" i="3"/>
  <c r="L25" i="3"/>
  <c r="M25" i="3"/>
  <c r="J30" i="3"/>
  <c r="K30" i="3"/>
  <c r="L30" i="3"/>
  <c r="M30" i="3"/>
  <c r="J43" i="3"/>
  <c r="K43" i="3"/>
  <c r="L43" i="3"/>
  <c r="M43" i="3"/>
  <c r="J47" i="3"/>
  <c r="K47" i="3"/>
  <c r="L47" i="3"/>
  <c r="M47" i="3"/>
  <c r="J60" i="3"/>
  <c r="K60" i="3"/>
  <c r="L60" i="3"/>
  <c r="M60" i="3"/>
  <c r="K61" i="3"/>
  <c r="L61" i="3"/>
  <c r="M61" i="3"/>
  <c r="J64" i="3"/>
  <c r="K64" i="3"/>
  <c r="L64" i="3"/>
  <c r="M64" i="3"/>
  <c r="J68" i="3"/>
  <c r="K68" i="3"/>
  <c r="L68" i="3"/>
  <c r="M68" i="3"/>
  <c r="G6" i="8"/>
  <c r="H6" i="8"/>
  <c r="I6" i="8"/>
  <c r="J6" i="8"/>
  <c r="G13" i="8"/>
  <c r="H13" i="8"/>
  <c r="I13" i="8"/>
  <c r="J13" i="8"/>
  <c r="G17" i="8"/>
  <c r="H17" i="8"/>
  <c r="I17" i="8"/>
  <c r="J17" i="8"/>
  <c r="G18" i="8"/>
  <c r="F22" i="8"/>
  <c r="F24" i="8"/>
  <c r="F25" i="8"/>
  <c r="F27" i="8"/>
  <c r="F29" i="8"/>
  <c r="F30" i="8"/>
  <c r="E33" i="8"/>
  <c r="F33" i="8"/>
  <c r="E34" i="8"/>
  <c r="F34" i="8"/>
  <c r="E35" i="8"/>
  <c r="F35" i="8"/>
  <c r="E37" i="8"/>
  <c r="F37" i="8"/>
  <c r="E39" i="8"/>
  <c r="F39" i="8"/>
  <c r="J6" i="7"/>
  <c r="K6" i="7"/>
  <c r="L6" i="7"/>
  <c r="I7" i="7"/>
  <c r="J7" i="7"/>
  <c r="K7" i="7"/>
  <c r="L7" i="7"/>
  <c r="I9" i="7"/>
  <c r="J9" i="7"/>
  <c r="K9" i="7"/>
  <c r="L9" i="7"/>
  <c r="I31" i="7"/>
  <c r="J31" i="7"/>
  <c r="K31" i="7"/>
  <c r="L31" i="7"/>
  <c r="I32" i="7"/>
  <c r="J32" i="7"/>
  <c r="K32" i="7"/>
  <c r="L32" i="7"/>
  <c r="K13" i="1"/>
  <c r="L13" i="1"/>
  <c r="M13" i="1"/>
  <c r="N13" i="1"/>
  <c r="K14" i="1"/>
  <c r="L14" i="1"/>
  <c r="M14" i="1"/>
  <c r="N14" i="1"/>
  <c r="K35" i="1"/>
  <c r="L35" i="1"/>
  <c r="M35" i="1"/>
  <c r="N35" i="1"/>
  <c r="L37" i="1"/>
  <c r="M37" i="1"/>
  <c r="N37" i="1"/>
  <c r="K39" i="1"/>
  <c r="L39" i="1"/>
  <c r="M39" i="1"/>
  <c r="N39" i="1"/>
  <c r="K40" i="1"/>
  <c r="L40" i="1"/>
  <c r="M40" i="1"/>
  <c r="N40" i="1"/>
  <c r="L48" i="1"/>
  <c r="M48" i="1"/>
  <c r="N48" i="1"/>
</calcChain>
</file>

<file path=xl/sharedStrings.xml><?xml version="1.0" encoding="utf-8"?>
<sst xmlns="http://schemas.openxmlformats.org/spreadsheetml/2006/main" count="510" uniqueCount="311">
  <si>
    <t>Revenue</t>
  </si>
  <si>
    <t>Historical</t>
  </si>
  <si>
    <t>Projection Period</t>
  </si>
  <si>
    <t>Year ended 31st December</t>
  </si>
  <si>
    <t>2017A</t>
  </si>
  <si>
    <t>2018A</t>
  </si>
  <si>
    <t>2020F</t>
  </si>
  <si>
    <t>2021F</t>
  </si>
  <si>
    <t>2022F</t>
  </si>
  <si>
    <t>HK$’000</t>
  </si>
  <si>
    <t>2023F</t>
  </si>
  <si>
    <t>2019A</t>
  </si>
  <si>
    <t>Colour Convention</t>
  </si>
  <si>
    <t>Blue: Hard-coded numbers</t>
  </si>
  <si>
    <t>Blue with highlight: Assumptions</t>
  </si>
  <si>
    <t>Black: Excel formula</t>
  </si>
  <si>
    <t>Green: Linked items from other worksheets</t>
  </si>
  <si>
    <t>Other income/gains, net</t>
  </si>
  <si>
    <t>Related &amp; special gaming taxes</t>
  </si>
  <si>
    <t>Raw materials and consumables used</t>
  </si>
  <si>
    <t>Amortisation and depreciation</t>
  </si>
  <si>
    <t>Employee benefit expenses</t>
  </si>
  <si>
    <t>Other operating expenses</t>
  </si>
  <si>
    <t>Finance costs</t>
  </si>
  <si>
    <t xml:space="preserve">Share of profits less losses of: </t>
  </si>
  <si>
    <t>Joint ventures</t>
  </si>
  <si>
    <t>Associated companies</t>
  </si>
  <si>
    <t>Profit before taxation</t>
  </si>
  <si>
    <t>Taxation charge</t>
  </si>
  <si>
    <t>Profit for the year</t>
  </si>
  <si>
    <t>Gross revenue from gaming operations</t>
  </si>
  <si>
    <t>Less: Commission and incentives</t>
  </si>
  <si>
    <t>Net revenue from gaming operations</t>
  </si>
  <si>
    <t>Sales of construction materials</t>
  </si>
  <si>
    <t>Revenue from hotel, mall operations and others</t>
  </si>
  <si>
    <t>Total Net Revenue</t>
  </si>
  <si>
    <t>Other comprehensive income/(loss):</t>
  </si>
  <si>
    <t>Translation differences of subsidiaries</t>
  </si>
  <si>
    <t>Share of translation differences of joint ventures</t>
  </si>
  <si>
    <t>Other comprehensive income/(loss) for the year, net of tax</t>
  </si>
  <si>
    <t>Total comprehensive income for the year</t>
  </si>
  <si>
    <t>Property, plant and equipment</t>
  </si>
  <si>
    <t>Right-of-use assets</t>
  </si>
  <si>
    <t>Leasehold land and land use rights</t>
  </si>
  <si>
    <t>Intangible assets</t>
  </si>
  <si>
    <t>Financial assets at amortised cost</t>
  </si>
  <si>
    <t>Financial assets at fair value through other comprehensive income</t>
  </si>
  <si>
    <t>Long-term bank deposits</t>
  </si>
  <si>
    <t>Other non-current assets</t>
  </si>
  <si>
    <t>Current Assets</t>
  </si>
  <si>
    <t>Inventories</t>
  </si>
  <si>
    <t>Debtors and prepayments</t>
  </si>
  <si>
    <t>Amounts due from joint ventures</t>
  </si>
  <si>
    <t>Taxation recoverable</t>
  </si>
  <si>
    <t>Current portion of financial assets at amortised cost</t>
  </si>
  <si>
    <t>Cash and cash equivalents and other bank deposits</t>
  </si>
  <si>
    <t>Non-current liabilities</t>
  </si>
  <si>
    <t>Borrowings</t>
  </si>
  <si>
    <t>Deferred taxation liabilities</t>
  </si>
  <si>
    <t>Lease liabilities</t>
  </si>
  <si>
    <t>Retention payable</t>
  </si>
  <si>
    <t>Non-current deposits</t>
  </si>
  <si>
    <t>Current liabilities</t>
  </si>
  <si>
    <t>Creditors and accruals</t>
  </si>
  <si>
    <t>Amounts due to joint ventures</t>
  </si>
  <si>
    <t>Current portion of lease liabilities</t>
  </si>
  <si>
    <t>Current portion of borrowings and short-term bank loans</t>
  </si>
  <si>
    <t>Provision for tax</t>
  </si>
  <si>
    <t>Equity</t>
  </si>
  <si>
    <t>Share capital and shares held for share award scheme</t>
  </si>
  <si>
    <t>Reserves</t>
  </si>
  <si>
    <t>Equity attributable to owners of the Company</t>
  </si>
  <si>
    <t>Non-controlling interests</t>
  </si>
  <si>
    <t>Total Current Assets</t>
  </si>
  <si>
    <t>Total Non-current Liabilities</t>
  </si>
  <si>
    <t>Total Current Liabilities</t>
  </si>
  <si>
    <t>Total Non-current Assets</t>
  </si>
  <si>
    <t>Non-current Assets</t>
  </si>
  <si>
    <t>Total Equity</t>
  </si>
  <si>
    <t>Cash flows from operating activities</t>
  </si>
  <si>
    <t>Cash generated from operations</t>
  </si>
  <si>
    <t>Hong Kong profits tax paid</t>
  </si>
  <si>
    <t>Mainland China tax and Macau complementary tax paid</t>
  </si>
  <si>
    <t>Interest paid</t>
  </si>
  <si>
    <t xml:space="preserve">Net cash from operating activities </t>
  </si>
  <si>
    <t>Cash flows from investing activities</t>
  </si>
  <si>
    <t>Purchase of property, plant and equipment</t>
  </si>
  <si>
    <t>Purchase of intangible assets</t>
  </si>
  <si>
    <t>Proceeds from disposal of property, plant and equipment</t>
  </si>
  <si>
    <t>(Increase)/decrease in advances to joint ventures</t>
  </si>
  <si>
    <t>Decrease/(increase) in deferred receivable</t>
  </si>
  <si>
    <t>Decrease/(increase) in finance lease receivable</t>
  </si>
  <si>
    <t>Purchase of financial assets</t>
  </si>
  <si>
    <t>Proceeds from redemption/disposal of financial assets</t>
  </si>
  <si>
    <t>Interest received</t>
  </si>
  <si>
    <t>Change in fair value of financial assets at fair value through other comprehensive income.</t>
  </si>
  <si>
    <t>Dividends received from joint ventures</t>
  </si>
  <si>
    <t>Dividends received from listed and unlisted investments</t>
  </si>
  <si>
    <t>Net cash used in investing activities</t>
  </si>
  <si>
    <t>Cash flows from financing activities</t>
  </si>
  <si>
    <t>Issue of new shares</t>
  </si>
  <si>
    <t xml:space="preserve">Shares repurchased by the trustee </t>
  </si>
  <si>
    <t>New bank loans</t>
  </si>
  <si>
    <t>Repayment of bank loans</t>
  </si>
  <si>
    <t>Principal elements of lease payments</t>
  </si>
  <si>
    <t>Injection of capital from non-controlling interests</t>
  </si>
  <si>
    <t>Dividends paid to non-controlling interests</t>
  </si>
  <si>
    <t>Dividends paid to shareholders</t>
  </si>
  <si>
    <t>Net decrease in cash and cash equivalents</t>
  </si>
  <si>
    <t>Cash and cash equivalents at beginning of year</t>
  </si>
  <si>
    <t>Translation differences</t>
  </si>
  <si>
    <t>Cash and cash equivalents at end of year</t>
  </si>
  <si>
    <t>Addition to leasehold land</t>
  </si>
  <si>
    <t>2020 - 1H</t>
  </si>
  <si>
    <t>2019 - 1H</t>
  </si>
  <si>
    <t>for reference</t>
  </si>
  <si>
    <t>2020 -2H</t>
  </si>
  <si>
    <t>Increase in deferred expenditure</t>
  </si>
  <si>
    <t>Revenue Growth</t>
  </si>
  <si>
    <t>Commission and incentives as a % of Gross Revenues</t>
  </si>
  <si>
    <t>Revenue from hotel, mall operations and others as a % of Gross Revenues</t>
  </si>
  <si>
    <t>Related &amp; special gaming taxes as a % of Net Revenue</t>
  </si>
  <si>
    <t>Raw materials and consumables used as a % of Net Revenue</t>
  </si>
  <si>
    <t>Employee benefit expenses as a % of Net Revenue</t>
  </si>
  <si>
    <t>Other operating expenses as a % of Net Revenue</t>
  </si>
  <si>
    <t>(e)</t>
  </si>
  <si>
    <t>Taxation charge as a % of Net Revenues</t>
  </si>
  <si>
    <t>EBITDA (rough calculation)</t>
  </si>
  <si>
    <t>~</t>
  </si>
  <si>
    <t>Step down to mean</t>
  </si>
  <si>
    <t>Average method</t>
  </si>
  <si>
    <t>(?) undecided. 10% for now.</t>
  </si>
  <si>
    <t>* Majority comes from Financial Assets at Amortised Cost = investments in debt securities. Step up done.</t>
  </si>
  <si>
    <t>Gross Revenue includes net gaming wins, contributions from City Club Casinos and tips received. However they take less than 1%</t>
  </si>
  <si>
    <t>* Independent. Assumed no growth</t>
  </si>
  <si>
    <t>Mainly consists of utilities, fuel, repairs, maintenance, advertising and promotions, F&amp;B costs</t>
  </si>
  <si>
    <t>* last 4 years average, kind of a step up.</t>
  </si>
  <si>
    <t>HK profits tax at 16.5%. Weighted average applicable tax rate for profits generated outside of Hong Kong is 12%.</t>
  </si>
  <si>
    <t>(?)</t>
  </si>
  <si>
    <t>Share of profits less losses of joint ventures and associated companies</t>
  </si>
  <si>
    <t>Depreciation and amortisation</t>
  </si>
  <si>
    <t>Fair value of share options granted</t>
  </si>
  <si>
    <t>Fair value of share awards granted</t>
  </si>
  <si>
    <t>Operating profit before working capital changes</t>
  </si>
  <si>
    <t>Working Capital Changes</t>
  </si>
  <si>
    <t>Decrease/(increase) in inventories</t>
  </si>
  <si>
    <t>(Increase)/decrease in debtors and prepayments</t>
  </si>
  <si>
    <t>Increase/(decrease) in creditors and accruals</t>
  </si>
  <si>
    <t>Decrease in amounts due to joint ventures</t>
  </si>
  <si>
    <t>Decrease in amounts due from joint ventures</t>
  </si>
  <si>
    <t>^ Can be relinked to the D&amp;A table</t>
  </si>
  <si>
    <t>^ Assumes FX changes 0 and encompasses everything else</t>
  </si>
  <si>
    <t>^ Assume no changes</t>
  </si>
  <si>
    <t>Current assets</t>
  </si>
  <si>
    <t>Inventory turnover days</t>
  </si>
  <si>
    <t>Days receivable</t>
  </si>
  <si>
    <t>Days payable</t>
  </si>
  <si>
    <t>mainly arise from the sales of construction materials and mall operations</t>
  </si>
  <si>
    <t>COGS</t>
  </si>
  <si>
    <t>Operating Expenses + Employee expenses</t>
  </si>
  <si>
    <t>From Income Statement</t>
  </si>
  <si>
    <t>Projection period</t>
  </si>
  <si>
    <t>^ average of past few years</t>
  </si>
  <si>
    <t>^ Assumption it doesn’t move</t>
  </si>
  <si>
    <t>* Follows a pattern. Negative, positive, negative.</t>
  </si>
  <si>
    <t xml:space="preserve">Capital Expenditures </t>
  </si>
  <si>
    <t>Capital Expenditures as a % of Revenue</t>
  </si>
  <si>
    <t>Depreciation</t>
  </si>
  <si>
    <t>Depreciaiton as a % of Total Revenue</t>
  </si>
  <si>
    <t>It is estimated that there will be an increase in depreciation expenses of HK$31.6 million for FY2019</t>
  </si>
  <si>
    <t>Depreciaiton as a % of Last Year's PPE</t>
  </si>
  <si>
    <t>Expected PPE</t>
  </si>
  <si>
    <t>Expand the restaurant network, uplift the existing restaurants, as well as enhance and expand the Food Factories</t>
  </si>
  <si>
    <t>Projected CAPEX as a % of Projected Revenue</t>
  </si>
  <si>
    <t>^ Check</t>
  </si>
  <si>
    <t>Total Expected CAPEX</t>
  </si>
  <si>
    <t>Assume around 10+% using past years average</t>
  </si>
  <si>
    <t>* Assume</t>
  </si>
  <si>
    <t>CAPEX at 4,000,000 moving forward. High due to Cotai expansion, but not as high due to COVID</t>
  </si>
  <si>
    <t>This tapers down to 8% of CAPEX as % of Rev</t>
  </si>
  <si>
    <t>Depre assume as a % of last year's PPE</t>
  </si>
  <si>
    <t>Cash available to pay down debt</t>
  </si>
  <si>
    <t>Cash at beginning of year</t>
  </si>
  <si>
    <t>Cash flow before debt paydown</t>
  </si>
  <si>
    <t>Minimum cash cushion</t>
  </si>
  <si>
    <t>Total cash available to pay down debt</t>
  </si>
  <si>
    <t>Short term borrowings / revolver</t>
  </si>
  <si>
    <t>Short term borrowings (beginning of year)</t>
  </si>
  <si>
    <r>
      <rPr>
        <u/>
        <sz val="9"/>
        <rFont val="Arial"/>
        <family val="2"/>
      </rPr>
      <t>Mandatory</t>
    </r>
    <r>
      <rPr>
        <sz val="9"/>
        <rFont val="Arial"/>
        <family val="2"/>
      </rPr>
      <t xml:space="preserve"> issuances / (retirements) </t>
    </r>
  </si>
  <si>
    <r>
      <rPr>
        <u/>
        <sz val="9"/>
        <rFont val="Arial"/>
        <family val="2"/>
      </rPr>
      <t xml:space="preserve">Non-mandatory </t>
    </r>
    <r>
      <rPr>
        <sz val="9"/>
        <rFont val="Arial"/>
        <family val="2"/>
      </rPr>
      <t>issuances / (retirements)</t>
    </r>
  </si>
  <si>
    <t>Short term borrowings (end of year)</t>
  </si>
  <si>
    <t>Short term interest expense</t>
  </si>
  <si>
    <t>Short term interest rate</t>
  </si>
  <si>
    <t>Long term borrowings / revolver</t>
  </si>
  <si>
    <t>Long term borrowings (beginning of year)</t>
  </si>
  <si>
    <t>Long term borrowings (end of year)</t>
  </si>
  <si>
    <t>Long term interest expense</t>
  </si>
  <si>
    <t>Long term interest rate</t>
  </si>
  <si>
    <t>Total issuances / (retirements)</t>
  </si>
  <si>
    <t>Total interest expense</t>
  </si>
  <si>
    <t>Cash at the end of the year</t>
  </si>
  <si>
    <t>Interest income</t>
  </si>
  <si>
    <t>Interest rate</t>
  </si>
  <si>
    <t>Interest income from Bank Deposits</t>
  </si>
  <si>
    <t>Interest expense from Bank loans and overdrafts</t>
  </si>
  <si>
    <t>Note in 2019 effective interest rates on balance sheet were 5.0% for RMB.</t>
  </si>
  <si>
    <t>Interest Rate</t>
  </si>
  <si>
    <t>Borrowings and short term bank loans</t>
  </si>
  <si>
    <t>Back then the 1 year yield was around 2.5%.</t>
  </si>
  <si>
    <t>The current 1 year RMB yield curve is 2.71%.</t>
  </si>
  <si>
    <t>If we add on a 2.5% spread, we get around 5.0%</t>
  </si>
  <si>
    <t>* For 2017 and 2018, Co had around 9 to 10 mil in debt, 250k being long term</t>
  </si>
  <si>
    <t>* At the end of 2019 however only ST debt 550k</t>
  </si>
  <si>
    <t>* 6mil short term debt for 2020F</t>
  </si>
  <si>
    <t>* assume need 3 mil in 2021 and 2022</t>
  </si>
  <si>
    <t>* Reach back 1 million in 2019 (close to the 550l in end 2019)</t>
  </si>
  <si>
    <t>Consists of Bank loans and overdrafts, Obligaitons under finance lease, lease liabilities and Others</t>
  </si>
  <si>
    <t>* However as Bank Loans are always 90%&gt;, we shall assume the rest are 0 (to make things simple)</t>
  </si>
  <si>
    <t>AVERAGE</t>
  </si>
  <si>
    <t>&gt;</t>
  </si>
  <si>
    <t>^ Assume CAPEX of 4,000,000 moving forward</t>
  </si>
  <si>
    <t>Assume 200,000</t>
  </si>
  <si>
    <t>^ Huge bearish case. Assume no changes</t>
  </si>
  <si>
    <t>^ Huge bearish case. Assume no changes. Dividend resumes in 2022.</t>
  </si>
  <si>
    <t>Foreign exchange (loss)/gain</t>
  </si>
  <si>
    <t>Others</t>
  </si>
  <si>
    <t>*Does not include short-term bank deposits</t>
  </si>
  <si>
    <t>Cash and cash equivalents</t>
  </si>
  <si>
    <t>Short-term pledged bank deposits</t>
  </si>
  <si>
    <t>Short-term bank deposits with maturity over three months</t>
  </si>
  <si>
    <t>One problem is that the interest income is not factored in into the income or cash flow statements</t>
  </si>
  <si>
    <t>Bank deposits</t>
  </si>
  <si>
    <t>Loans to joint ventures</t>
  </si>
  <si>
    <t>Deferred receivables</t>
  </si>
  <si>
    <t>Dividend income from unlisted investments</t>
  </si>
  <si>
    <t>Dividend income from listed investments</t>
  </si>
  <si>
    <t>Gross earnings on finance lease</t>
  </si>
  <si>
    <t>(Loss)/gain on disposal and loss on write-off of property, plant and equipment</t>
  </si>
  <si>
    <t>^ Assumed no change</t>
  </si>
  <si>
    <t>^ Very small. Assume no changes</t>
  </si>
  <si>
    <t>^ Assume no sale or write off on PPE</t>
  </si>
  <si>
    <t>^ Just assume 800,000 in earnings for the next few years</t>
  </si>
  <si>
    <t>* Huge assumptions made here on converting deposits to cash</t>
  </si>
  <si>
    <t>Supplementary data</t>
  </si>
  <si>
    <t>Sum of Short Term Bank Desposits 2019</t>
  </si>
  <si>
    <t>Increase in short-term pledged deposits and bank deposits with maturity over three months</t>
  </si>
  <si>
    <t>X</t>
  </si>
  <si>
    <t>Net cash used in financing activities</t>
  </si>
  <si>
    <t>lease liabilities</t>
  </si>
  <si>
    <t>deferred tax liabilities</t>
  </si>
  <si>
    <t>^ No change</t>
  </si>
  <si>
    <t>^ essentially no change</t>
  </si>
  <si>
    <t>X - care</t>
  </si>
  <si>
    <t>^ Assume no change as all are maturity over three months</t>
  </si>
  <si>
    <t>* No link</t>
  </si>
  <si>
    <t>NOT LINKED</t>
  </si>
  <si>
    <t>Total Assets</t>
  </si>
  <si>
    <t>Total Liab</t>
  </si>
  <si>
    <t>Total Sum</t>
  </si>
  <si>
    <t>Difference</t>
  </si>
  <si>
    <t>EBIT</t>
  </si>
  <si>
    <t>Unlevered Free Cash Flow</t>
  </si>
  <si>
    <t>Depreciation &amp; Amortization</t>
  </si>
  <si>
    <t>Deferred Taxes</t>
  </si>
  <si>
    <t>Other</t>
  </si>
  <si>
    <t>Changes in Working Capital</t>
  </si>
  <si>
    <t>Capital Expenditures</t>
  </si>
  <si>
    <t>Taxes</t>
  </si>
  <si>
    <t>Total Unlevered Free Cash Flow</t>
  </si>
  <si>
    <t>Net Present Value Calulation</t>
  </si>
  <si>
    <t>Period</t>
  </si>
  <si>
    <t>Discounted Cash Flow</t>
  </si>
  <si>
    <t>Total Net Present Value</t>
  </si>
  <si>
    <t>Terminal Value</t>
  </si>
  <si>
    <t>EBITDA Method</t>
  </si>
  <si>
    <t>Cost of Capital</t>
  </si>
  <si>
    <t>Exit Year EBITDA</t>
  </si>
  <si>
    <t xml:space="preserve">Risk Free Rate </t>
  </si>
  <si>
    <t>add another '000</t>
  </si>
  <si>
    <t>Debt + Equity Value + NCI - Cash</t>
  </si>
  <si>
    <t xml:space="preserve">Market Risk Premium </t>
  </si>
  <si>
    <t xml:space="preserve">Stock Price </t>
  </si>
  <si>
    <t>NCI can be in Liabilities and in Equity</t>
  </si>
  <si>
    <t xml:space="preserve">Beta </t>
  </si>
  <si>
    <t>Shares Outstanding</t>
  </si>
  <si>
    <t>Net Present Value</t>
  </si>
  <si>
    <t xml:space="preserve">Cost of Equity </t>
  </si>
  <si>
    <t>Equity Value</t>
  </si>
  <si>
    <t>Perpetuity Method</t>
  </si>
  <si>
    <t xml:space="preserve">Cost of Debt </t>
  </si>
  <si>
    <t>Growth Rate</t>
  </si>
  <si>
    <t>WACC</t>
  </si>
  <si>
    <t xml:space="preserve">Discounted Cash Flow Total Valuation </t>
  </si>
  <si>
    <t xml:space="preserve">EBITDA Method </t>
  </si>
  <si>
    <t>Total of Present Value of Cash Flows</t>
  </si>
  <si>
    <t>Present Value of Terminal Value</t>
  </si>
  <si>
    <t>Total Enterprise Value</t>
  </si>
  <si>
    <t>Net Debt, Non-controlling interests, preferred securities</t>
  </si>
  <si>
    <t>Estimated Equity Value per Share</t>
  </si>
  <si>
    <t>Change in total operating working capital</t>
  </si>
  <si>
    <t>Debt YE 2019</t>
  </si>
  <si>
    <t>Share Count</t>
  </si>
  <si>
    <t>Risk free rate is HKD 10Yr</t>
  </si>
  <si>
    <t>Damodarn said around 7%</t>
  </si>
  <si>
    <t>Market risk premia said 9%</t>
  </si>
  <si>
    <t>Beta based on yahoo finance</t>
  </si>
  <si>
    <t xml:space="preserve">Income Tax Rate &gt; </t>
  </si>
  <si>
    <t>Manual Step Down</t>
  </si>
  <si>
    <t>Total "operating working capital"</t>
  </si>
  <si>
    <t>LTM Multiple</t>
  </si>
  <si>
    <t>same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</si>
</sst>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7" formatCode="&quot;$&quot;#,##0.00_);\(&quot;$&quot;#,##0.00\)"/>
    <numFmt numFmtId="43" formatCode="_(* #,##0.00_);_(* \(#,##0.00\);_(* &quot;-&quot;??_);_(@_)"/>
    <numFmt numFmtId="164" formatCode="_-* #,##0_-;\-* #,##0_-;_-* &quot;-&quot;??_-;_-@_-"/>
    <numFmt numFmtId="165" formatCode="0.0"/>
    <numFmt numFmtId="166" formatCode="#,##0.0"/>
    <numFmt numFmtId="167" formatCode="_(* #,##0.0_);_(* \(#,##0.0\);_(* &quot;-&quot;??_);_(@_)"/>
    <numFmt numFmtId="168" formatCode="_(* #,##0_);_(* \(#,##0\);_(* &quot;-&quot;??_);_(@_)"/>
    <numFmt numFmtId="169" formatCode="0.0%"/>
    <numFmt numFmtId="170" formatCode="#,##0.0_);[Red]\(#,##0.0\)"/>
    <numFmt numFmtId="171" formatCode="0.0\x"/>
    <numFmt numFmtId="172" formatCode="#,##0.00_);\(#,##0.00\);#,##0.00_);@_)"/>
    <numFmt numFmtId="173" formatCode="#,##0.0_);\(#,##0.0\)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0"/>
      <name val="Century Gothic"/>
      <family val="1"/>
    </font>
    <font>
      <b/>
      <sz val="9"/>
      <name val="Century Gothic"/>
      <family val="1"/>
    </font>
    <font>
      <sz val="11"/>
      <color rgb="FF0070C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entury Gothic"/>
      <family val="2"/>
    </font>
    <font>
      <b/>
      <u/>
      <sz val="9"/>
      <color theme="1"/>
      <name val="Century Gothic"/>
      <family val="2"/>
    </font>
    <font>
      <b/>
      <sz val="9"/>
      <color rgb="FF0000FF"/>
      <name val="Century Gothic"/>
      <family val="1"/>
    </font>
    <font>
      <b/>
      <sz val="9"/>
      <color theme="1"/>
      <name val="Century Gothic"/>
      <family val="1"/>
    </font>
    <font>
      <b/>
      <sz val="9"/>
      <color rgb="FF00B050"/>
      <name val="Century Gothic"/>
      <family val="1"/>
    </font>
    <font>
      <sz val="11"/>
      <color rgb="FF00B050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9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  <font>
      <u/>
      <sz val="9"/>
      <name val="Arial"/>
      <family val="2"/>
    </font>
    <font>
      <b/>
      <sz val="9"/>
      <color indexed="12"/>
      <name val="Arial"/>
      <family val="2"/>
    </font>
    <font>
      <i/>
      <sz val="9"/>
      <name val="Arial"/>
      <family val="2"/>
    </font>
    <font>
      <b/>
      <sz val="11"/>
      <color rgb="FF0070C0"/>
      <name val="Calibri"/>
      <family val="2"/>
      <scheme val="minor"/>
    </font>
    <font>
      <sz val="10"/>
      <name val="Arial"/>
      <family val="2"/>
    </font>
    <font>
      <sz val="9"/>
      <color indexed="56"/>
      <name val="Arial"/>
      <family val="2"/>
    </font>
    <font>
      <sz val="9"/>
      <color indexed="12"/>
      <name val="Arial"/>
      <family val="2"/>
    </font>
    <font>
      <b/>
      <sz val="11"/>
      <name val="Calibri"/>
      <family val="2"/>
      <scheme val="minor"/>
    </font>
    <font>
      <sz val="9"/>
      <color rgb="FF0070C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2F7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75585192419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22" fillId="0" borderId="0"/>
    <xf numFmtId="0" fontId="22" fillId="0" borderId="0"/>
  </cellStyleXfs>
  <cellXfs count="2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0" xfId="0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0" fillId="0" borderId="7" xfId="0" applyBorder="1"/>
    <xf numFmtId="0" fontId="0" fillId="0" borderId="8" xfId="0" applyBorder="1"/>
    <xf numFmtId="3" fontId="5" fillId="0" borderId="0" xfId="0" applyNumberFormat="1" applyFont="1" applyBorder="1"/>
    <xf numFmtId="164" fontId="0" fillId="0" borderId="0" xfId="1" applyNumberFormat="1" applyFont="1" applyBorder="1"/>
    <xf numFmtId="164" fontId="0" fillId="0" borderId="8" xfId="1" applyNumberFormat="1" applyFont="1" applyBorder="1"/>
    <xf numFmtId="164" fontId="6" fillId="0" borderId="0" xfId="1" applyNumberFormat="1" applyFont="1" applyBorder="1"/>
    <xf numFmtId="164" fontId="6" fillId="0" borderId="8" xfId="1" applyNumberFormat="1" applyFont="1" applyBorder="1"/>
    <xf numFmtId="0" fontId="0" fillId="0" borderId="5" xfId="0" applyBorder="1"/>
    <xf numFmtId="0" fontId="8" fillId="4" borderId="0" xfId="2" applyFont="1" applyFill="1" applyBorder="1" applyAlignment="1">
      <alignment horizontal="left"/>
    </xf>
    <xf numFmtId="0" fontId="9" fillId="4" borderId="0" xfId="2" applyFont="1" applyFill="1" applyBorder="1"/>
    <xf numFmtId="0" fontId="9" fillId="5" borderId="0" xfId="2" applyFont="1" applyFill="1" applyBorder="1"/>
    <xf numFmtId="0" fontId="10" fillId="4" borderId="0" xfId="2" applyFont="1" applyFill="1" applyBorder="1"/>
    <xf numFmtId="0" fontId="11" fillId="4" borderId="9" xfId="2" applyFont="1" applyFill="1" applyBorder="1"/>
    <xf numFmtId="0" fontId="0" fillId="0" borderId="7" xfId="0" applyFill="1" applyBorder="1"/>
    <xf numFmtId="0" fontId="0" fillId="0" borderId="0" xfId="0" applyFill="1" applyBorder="1"/>
    <xf numFmtId="3" fontId="6" fillId="0" borderId="0" xfId="0" applyNumberFormat="1" applyFont="1" applyBorder="1"/>
    <xf numFmtId="3" fontId="0" fillId="0" borderId="0" xfId="0" applyNumberFormat="1"/>
    <xf numFmtId="3" fontId="5" fillId="0" borderId="0" xfId="0" applyNumberFormat="1" applyFont="1"/>
    <xf numFmtId="10" fontId="0" fillId="0" borderId="0" xfId="0" applyNumberFormat="1"/>
    <xf numFmtId="3" fontId="0" fillId="0" borderId="0" xfId="0" applyNumberFormat="1" applyBorder="1"/>
    <xf numFmtId="3" fontId="5" fillId="0" borderId="0" xfId="0" applyNumberFormat="1" applyFont="1" applyBorder="1" applyAlignment="1">
      <alignment wrapText="1"/>
    </xf>
    <xf numFmtId="0" fontId="5" fillId="0" borderId="0" xfId="0" applyFont="1" applyBorder="1"/>
    <xf numFmtId="0" fontId="0" fillId="0" borderId="0" xfId="0" applyBorder="1" applyAlignment="1">
      <alignment horizontal="left" wrapText="1"/>
    </xf>
    <xf numFmtId="0" fontId="0" fillId="0" borderId="10" xfId="0" applyBorder="1"/>
    <xf numFmtId="0" fontId="0" fillId="0" borderId="9" xfId="0" applyBorder="1"/>
    <xf numFmtId="3" fontId="0" fillId="0" borderId="9" xfId="0" applyNumberFormat="1" applyBorder="1"/>
    <xf numFmtId="0" fontId="0" fillId="0" borderId="11" xfId="0" applyBorder="1"/>
    <xf numFmtId="0" fontId="0" fillId="0" borderId="0" xfId="0" applyBorder="1" applyAlignment="1">
      <alignment wrapText="1"/>
    </xf>
    <xf numFmtId="3" fontId="12" fillId="6" borderId="0" xfId="0" applyNumberFormat="1" applyFont="1" applyFill="1" applyBorder="1"/>
    <xf numFmtId="3" fontId="5" fillId="0" borderId="9" xfId="0" applyNumberFormat="1" applyFont="1" applyBorder="1"/>
    <xf numFmtId="9" fontId="5" fillId="5" borderId="2" xfId="0" applyNumberFormat="1" applyFont="1" applyFill="1" applyBorder="1"/>
    <xf numFmtId="0" fontId="5" fillId="8" borderId="2" xfId="0" applyFont="1" applyFill="1" applyBorder="1"/>
    <xf numFmtId="0" fontId="5" fillId="8" borderId="0" xfId="0" applyFont="1" applyFill="1" applyBorder="1"/>
    <xf numFmtId="10" fontId="5" fillId="5" borderId="0" xfId="0" applyNumberFormat="1" applyFont="1" applyFill="1" applyBorder="1"/>
    <xf numFmtId="9" fontId="5" fillId="5" borderId="0" xfId="0" applyNumberFormat="1" applyFont="1" applyFill="1" applyBorder="1"/>
    <xf numFmtId="10" fontId="5" fillId="5" borderId="8" xfId="0" applyNumberFormat="1" applyFont="1" applyFill="1" applyBorder="1"/>
    <xf numFmtId="10" fontId="6" fillId="0" borderId="2" xfId="0" applyNumberFormat="1" applyFont="1" applyBorder="1"/>
    <xf numFmtId="10" fontId="6" fillId="8" borderId="2" xfId="0" applyNumberFormat="1" applyFont="1" applyFill="1" applyBorder="1"/>
    <xf numFmtId="10" fontId="6" fillId="0" borderId="0" xfId="0" applyNumberFormat="1" applyFont="1" applyBorder="1"/>
    <xf numFmtId="10" fontId="6" fillId="0" borderId="9" xfId="0" applyNumberFormat="1" applyFont="1" applyBorder="1"/>
    <xf numFmtId="9" fontId="5" fillId="5" borderId="8" xfId="0" applyNumberFormat="1" applyFont="1" applyFill="1" applyBorder="1"/>
    <xf numFmtId="10" fontId="5" fillId="5" borderId="9" xfId="0" applyNumberFormat="1" applyFont="1" applyFill="1" applyBorder="1"/>
    <xf numFmtId="10" fontId="5" fillId="5" borderId="11" xfId="0" applyNumberFormat="1" applyFont="1" applyFill="1" applyBorder="1"/>
    <xf numFmtId="164" fontId="5" fillId="0" borderId="0" xfId="1" applyNumberFormat="1" applyFont="1" applyBorder="1"/>
    <xf numFmtId="3" fontId="6" fillId="0" borderId="8" xfId="0" applyNumberFormat="1" applyFont="1" applyBorder="1"/>
    <xf numFmtId="164" fontId="5" fillId="0" borderId="8" xfId="1" applyNumberFormat="1" applyFont="1" applyBorder="1"/>
    <xf numFmtId="3" fontId="0" fillId="0" borderId="8" xfId="0" applyNumberFormat="1" applyBorder="1"/>
    <xf numFmtId="3" fontId="0" fillId="0" borderId="0" xfId="0" applyNumberFormat="1" applyFont="1" applyBorder="1"/>
    <xf numFmtId="0" fontId="13" fillId="0" borderId="0" xfId="0" applyFont="1" applyBorder="1"/>
    <xf numFmtId="0" fontId="0" fillId="0" borderId="0" xfId="0" applyFont="1" applyBorder="1"/>
    <xf numFmtId="0" fontId="0" fillId="0" borderId="0" xfId="0" applyFont="1" applyFill="1" applyBorder="1"/>
    <xf numFmtId="3" fontId="12" fillId="0" borderId="0" xfId="0" applyNumberFormat="1" applyFont="1" applyBorder="1"/>
    <xf numFmtId="3" fontId="6" fillId="8" borderId="0" xfId="0" applyNumberFormat="1" applyFont="1" applyFill="1" applyBorder="1"/>
    <xf numFmtId="3" fontId="6" fillId="9" borderId="0" xfId="0" applyNumberFormat="1" applyFont="1" applyFill="1" applyBorder="1"/>
    <xf numFmtId="164" fontId="12" fillId="0" borderId="0" xfId="1" applyNumberFormat="1" applyFont="1" applyBorder="1"/>
    <xf numFmtId="0" fontId="3" fillId="2" borderId="2" xfId="0" applyFont="1" applyFill="1" applyBorder="1" applyAlignment="1">
      <alignment horizontal="center"/>
    </xf>
    <xf numFmtId="3" fontId="12" fillId="0" borderId="0" xfId="0" applyNumberFormat="1" applyFont="1" applyBorder="1" applyAlignment="1">
      <alignment wrapText="1"/>
    </xf>
    <xf numFmtId="166" fontId="12" fillId="0" borderId="0" xfId="0" applyNumberFormat="1" applyFont="1" applyBorder="1" applyAlignment="1">
      <alignment wrapText="1"/>
    </xf>
    <xf numFmtId="165" fontId="0" fillId="0" borderId="0" xfId="0" applyNumberFormat="1" applyBorder="1"/>
    <xf numFmtId="0" fontId="2" fillId="0" borderId="7" xfId="0" applyFont="1" applyFill="1" applyBorder="1"/>
    <xf numFmtId="3" fontId="0" fillId="0" borderId="0" xfId="0" applyNumberFormat="1" applyFill="1" applyBorder="1"/>
    <xf numFmtId="43" fontId="0" fillId="0" borderId="0" xfId="1" applyFont="1" applyBorder="1"/>
    <xf numFmtId="0" fontId="0" fillId="0" borderId="7" xfId="0" applyFont="1" applyFill="1" applyBorder="1"/>
    <xf numFmtId="166" fontId="0" fillId="0" borderId="0" xfId="0" applyNumberFormat="1" applyBorder="1"/>
    <xf numFmtId="166" fontId="0" fillId="0" borderId="8" xfId="0" applyNumberFormat="1" applyBorder="1"/>
    <xf numFmtId="0" fontId="14" fillId="0" borderId="0" xfId="0" applyFont="1" applyFill="1" applyBorder="1" applyAlignment="1">
      <alignment horizontal="left"/>
    </xf>
    <xf numFmtId="166" fontId="0" fillId="0" borderId="0" xfId="0" applyNumberFormat="1" applyFill="1" applyBorder="1"/>
    <xf numFmtId="2" fontId="0" fillId="0" borderId="0" xfId="0" applyNumberFormat="1" applyBorder="1"/>
    <xf numFmtId="166" fontId="0" fillId="0" borderId="0" xfId="1" applyNumberFormat="1" applyFont="1" applyBorder="1"/>
    <xf numFmtId="166" fontId="0" fillId="0" borderId="8" xfId="1" applyNumberFormat="1" applyFont="1" applyBorder="1"/>
    <xf numFmtId="167" fontId="0" fillId="0" borderId="0" xfId="0" applyNumberFormat="1" applyFill="1" applyBorder="1"/>
    <xf numFmtId="0" fontId="2" fillId="0" borderId="7" xfId="0" applyFont="1" applyBorder="1"/>
    <xf numFmtId="3" fontId="12" fillId="0" borderId="9" xfId="0" applyNumberFormat="1" applyFont="1" applyBorder="1"/>
    <xf numFmtId="168" fontId="0" fillId="0" borderId="0" xfId="1" applyNumberFormat="1" applyFont="1" applyBorder="1"/>
    <xf numFmtId="168" fontId="0" fillId="0" borderId="8" xfId="1" applyNumberFormat="1" applyFont="1" applyBorder="1"/>
    <xf numFmtId="3" fontId="12" fillId="0" borderId="8" xfId="0" applyNumberFormat="1" applyFont="1" applyBorder="1"/>
    <xf numFmtId="3" fontId="12" fillId="0" borderId="11" xfId="0" applyNumberFormat="1" applyFont="1" applyBorder="1"/>
    <xf numFmtId="164" fontId="0" fillId="0" borderId="12" xfId="1" applyNumberFormat="1" applyFont="1" applyBorder="1"/>
    <xf numFmtId="3" fontId="6" fillId="0" borderId="12" xfId="0" applyNumberFormat="1" applyFont="1" applyBorder="1"/>
    <xf numFmtId="164" fontId="12" fillId="0" borderId="8" xfId="1" applyNumberFormat="1" applyFont="1" applyBorder="1"/>
    <xf numFmtId="3" fontId="5" fillId="0" borderId="8" xfId="0" applyNumberFormat="1" applyFont="1" applyBorder="1"/>
    <xf numFmtId="3" fontId="6" fillId="0" borderId="13" xfId="0" applyNumberFormat="1" applyFont="1" applyBorder="1"/>
    <xf numFmtId="3" fontId="0" fillId="0" borderId="5" xfId="0" applyNumberFormat="1" applyBorder="1"/>
    <xf numFmtId="3" fontId="6" fillId="0" borderId="0" xfId="0" applyNumberFormat="1" applyFont="1" applyFill="1" applyBorder="1"/>
    <xf numFmtId="3" fontId="6" fillId="0" borderId="8" xfId="0" applyNumberFormat="1" applyFont="1" applyFill="1" applyBorder="1"/>
    <xf numFmtId="10" fontId="0" fillId="0" borderId="0" xfId="0" applyNumberFormat="1" applyBorder="1"/>
    <xf numFmtId="10" fontId="0" fillId="0" borderId="8" xfId="0" applyNumberFormat="1" applyBorder="1"/>
    <xf numFmtId="10" fontId="0" fillId="0" borderId="9" xfId="0" applyNumberFormat="1" applyBorder="1"/>
    <xf numFmtId="0" fontId="2" fillId="0" borderId="1" xfId="0" applyFont="1" applyBorder="1"/>
    <xf numFmtId="0" fontId="0" fillId="0" borderId="3" xfId="0" applyBorder="1"/>
    <xf numFmtId="3" fontId="0" fillId="0" borderId="11" xfId="0" applyNumberFormat="1" applyBorder="1"/>
    <xf numFmtId="10" fontId="15" fillId="5" borderId="9" xfId="0" applyNumberFormat="1" applyFont="1" applyFill="1" applyBorder="1"/>
    <xf numFmtId="10" fontId="15" fillId="5" borderId="11" xfId="0" applyNumberFormat="1" applyFont="1" applyFill="1" applyBorder="1"/>
    <xf numFmtId="3" fontId="5" fillId="0" borderId="0" xfId="0" applyNumberFormat="1" applyFont="1" applyFill="1" applyBorder="1"/>
    <xf numFmtId="0" fontId="0" fillId="0" borderId="0" xfId="0" applyFill="1"/>
    <xf numFmtId="0" fontId="2" fillId="0" borderId="0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16" fillId="0" borderId="7" xfId="0" applyFont="1" applyFill="1" applyBorder="1"/>
    <xf numFmtId="0" fontId="0" fillId="0" borderId="8" xfId="0" applyFill="1" applyBorder="1"/>
    <xf numFmtId="0" fontId="17" fillId="0" borderId="0" xfId="0" applyFont="1" applyFill="1" applyBorder="1"/>
    <xf numFmtId="3" fontId="0" fillId="0" borderId="8" xfId="0" applyNumberFormat="1" applyFill="1" applyBorder="1"/>
    <xf numFmtId="164" fontId="0" fillId="0" borderId="0" xfId="1" applyNumberFormat="1" applyFont="1" applyFill="1" applyBorder="1"/>
    <xf numFmtId="164" fontId="0" fillId="0" borderId="8" xfId="1" applyNumberFormat="1" applyFont="1" applyFill="1" applyBorder="1"/>
    <xf numFmtId="0" fontId="16" fillId="0" borderId="0" xfId="0" applyFont="1" applyFill="1" applyBorder="1"/>
    <xf numFmtId="0" fontId="17" fillId="0" borderId="7" xfId="0" applyFont="1" applyFill="1" applyBorder="1"/>
    <xf numFmtId="0" fontId="17" fillId="0" borderId="0" xfId="0" quotePrefix="1" applyFont="1" applyFill="1" applyBorder="1"/>
    <xf numFmtId="9" fontId="19" fillId="0" borderId="0" xfId="0" applyNumberFormat="1" applyFont="1" applyFill="1" applyBorder="1" applyAlignment="1">
      <alignment horizontal="right"/>
    </xf>
    <xf numFmtId="9" fontId="20" fillId="0" borderId="0" xfId="0" applyNumberFormat="1" applyFont="1" applyFill="1" applyBorder="1" applyAlignment="1">
      <alignment horizontal="left"/>
    </xf>
    <xf numFmtId="9" fontId="19" fillId="0" borderId="0" xfId="0" applyNumberFormat="1" applyFont="1" applyFill="1" applyBorder="1"/>
    <xf numFmtId="0" fontId="0" fillId="0" borderId="10" xfId="0" applyFill="1" applyBorder="1"/>
    <xf numFmtId="0" fontId="0" fillId="0" borderId="9" xfId="0" applyFill="1" applyBorder="1"/>
    <xf numFmtId="9" fontId="20" fillId="0" borderId="9" xfId="0" applyNumberFormat="1" applyFont="1" applyFill="1" applyBorder="1"/>
    <xf numFmtId="3" fontId="12" fillId="0" borderId="0" xfId="0" applyNumberFormat="1" applyFont="1" applyFill="1" applyBorder="1"/>
    <xf numFmtId="0" fontId="12" fillId="0" borderId="0" xfId="0" applyFont="1" applyFill="1" applyBorder="1"/>
    <xf numFmtId="164" fontId="12" fillId="0" borderId="0" xfId="1" applyNumberFormat="1" applyFont="1" applyFill="1" applyBorder="1"/>
    <xf numFmtId="169" fontId="5" fillId="5" borderId="0" xfId="0" applyNumberFormat="1" applyFont="1" applyFill="1" applyBorder="1"/>
    <xf numFmtId="169" fontId="5" fillId="5" borderId="8" xfId="0" applyNumberFormat="1" applyFont="1" applyFill="1" applyBorder="1"/>
    <xf numFmtId="168" fontId="0" fillId="0" borderId="0" xfId="1" applyNumberFormat="1" applyFont="1" applyFill="1" applyBorder="1"/>
    <xf numFmtId="168" fontId="0" fillId="0" borderId="0" xfId="1" applyNumberFormat="1" applyFont="1"/>
    <xf numFmtId="10" fontId="0" fillId="0" borderId="12" xfId="0" applyNumberFormat="1" applyBorder="1"/>
    <xf numFmtId="0" fontId="0" fillId="0" borderId="0" xfId="0" applyAlignment="1">
      <alignment horizontal="right"/>
    </xf>
    <xf numFmtId="0" fontId="2" fillId="0" borderId="0" xfId="0" applyFont="1"/>
    <xf numFmtId="168" fontId="0" fillId="0" borderId="8" xfId="1" applyNumberFormat="1" applyFont="1" applyFill="1" applyBorder="1"/>
    <xf numFmtId="9" fontId="5" fillId="5" borderId="9" xfId="0" applyNumberFormat="1" applyFont="1" applyFill="1" applyBorder="1"/>
    <xf numFmtId="9" fontId="5" fillId="5" borderId="11" xfId="0" applyNumberFormat="1" applyFont="1" applyFill="1" applyBorder="1"/>
    <xf numFmtId="3" fontId="0" fillId="0" borderId="6" xfId="0" applyNumberFormat="1" applyBorder="1"/>
    <xf numFmtId="3" fontId="0" fillId="7" borderId="0" xfId="0" applyNumberFormat="1" applyFill="1" applyBorder="1"/>
    <xf numFmtId="3" fontId="0" fillId="8" borderId="0" xfId="0" applyNumberFormat="1" applyFill="1" applyBorder="1"/>
    <xf numFmtId="0" fontId="5" fillId="0" borderId="0" xfId="0" applyFont="1" applyFill="1" applyBorder="1"/>
    <xf numFmtId="0" fontId="5" fillId="0" borderId="8" xfId="0" applyFont="1" applyFill="1" applyBorder="1"/>
    <xf numFmtId="168" fontId="12" fillId="0" borderId="0" xfId="1" applyNumberFormat="1" applyFont="1" applyFill="1" applyBorder="1"/>
    <xf numFmtId="3" fontId="5" fillId="0" borderId="8" xfId="0" applyNumberFormat="1" applyFont="1" applyFill="1" applyBorder="1"/>
    <xf numFmtId="3" fontId="12" fillId="0" borderId="8" xfId="0" applyNumberFormat="1" applyFont="1" applyFill="1" applyBorder="1"/>
    <xf numFmtId="168" fontId="12" fillId="0" borderId="8" xfId="1" applyNumberFormat="1" applyFont="1" applyFill="1" applyBorder="1"/>
    <xf numFmtId="3" fontId="12" fillId="8" borderId="0" xfId="0" applyNumberFormat="1" applyFont="1" applyFill="1" applyBorder="1"/>
    <xf numFmtId="0" fontId="0" fillId="8" borderId="0" xfId="0" applyFill="1" applyBorder="1"/>
    <xf numFmtId="3" fontId="0" fillId="7" borderId="8" xfId="0" applyNumberFormat="1" applyFill="1" applyBorder="1"/>
    <xf numFmtId="0" fontId="3" fillId="2" borderId="2" xfId="0" applyFont="1" applyFill="1" applyBorder="1" applyAlignment="1">
      <alignment horizontal="center"/>
    </xf>
    <xf numFmtId="3" fontId="12" fillId="9" borderId="0" xfId="0" applyNumberFormat="1" applyFont="1" applyFill="1" applyBorder="1"/>
    <xf numFmtId="3" fontId="5" fillId="8" borderId="0" xfId="0" applyNumberFormat="1" applyFont="1" applyFill="1" applyBorder="1"/>
    <xf numFmtId="0" fontId="0" fillId="10" borderId="0" xfId="0" applyFill="1"/>
    <xf numFmtId="165" fontId="5" fillId="0" borderId="0" xfId="1" applyNumberFormat="1" applyFont="1" applyBorder="1"/>
    <xf numFmtId="165" fontId="5" fillId="0" borderId="8" xfId="1" applyNumberFormat="1" applyFont="1" applyBorder="1"/>
    <xf numFmtId="0" fontId="12" fillId="0" borderId="8" xfId="0" applyFont="1" applyFill="1" applyBorder="1"/>
    <xf numFmtId="0" fontId="21" fillId="0" borderId="12" xfId="0" applyFont="1" applyFill="1" applyBorder="1"/>
    <xf numFmtId="0" fontId="21" fillId="0" borderId="13" xfId="0" applyFont="1" applyFill="1" applyBorder="1"/>
    <xf numFmtId="3" fontId="0" fillId="0" borderId="5" xfId="0" applyNumberFormat="1" applyFill="1" applyBorder="1"/>
    <xf numFmtId="3" fontId="0" fillId="0" borderId="2" xfId="0" applyNumberFormat="1" applyBorder="1"/>
    <xf numFmtId="0" fontId="0" fillId="8" borderId="9" xfId="0" applyFill="1" applyBorder="1"/>
    <xf numFmtId="0" fontId="3" fillId="2" borderId="2" xfId="0" applyFont="1" applyFill="1" applyBorder="1" applyAlignment="1">
      <alignment horizontal="center"/>
    </xf>
    <xf numFmtId="164" fontId="1" fillId="0" borderId="0" xfId="1" applyNumberFormat="1" applyFont="1" applyBorder="1"/>
    <xf numFmtId="164" fontId="1" fillId="0" borderId="8" xfId="1" applyNumberFormat="1" applyFont="1" applyBorder="1"/>
    <xf numFmtId="0" fontId="0" fillId="9" borderId="0" xfId="0" applyFill="1"/>
    <xf numFmtId="43" fontId="12" fillId="0" borderId="0" xfId="1" applyFont="1" applyFill="1" applyBorder="1"/>
    <xf numFmtId="1" fontId="12" fillId="0" borderId="0" xfId="1" applyNumberFormat="1" applyFont="1" applyBorder="1"/>
    <xf numFmtId="1" fontId="12" fillId="0" borderId="8" xfId="1" applyNumberFormat="1" applyFont="1" applyBorder="1"/>
    <xf numFmtId="0" fontId="2" fillId="0" borderId="14" xfId="0" applyFont="1" applyBorder="1"/>
    <xf numFmtId="3" fontId="0" fillId="0" borderId="15" xfId="0" applyNumberFormat="1" applyBorder="1"/>
    <xf numFmtId="0" fontId="2" fillId="0" borderId="17" xfId="0" applyFont="1" applyBorder="1"/>
    <xf numFmtId="0" fontId="2" fillId="0" borderId="19" xfId="0" applyFont="1" applyBorder="1"/>
    <xf numFmtId="168" fontId="0" fillId="0" borderId="0" xfId="0" applyNumberFormat="1" applyBorder="1"/>
    <xf numFmtId="3" fontId="0" fillId="0" borderId="16" xfId="0" applyNumberFormat="1" applyBorder="1"/>
    <xf numFmtId="3" fontId="0" fillId="0" borderId="18" xfId="0" applyNumberFormat="1" applyBorder="1"/>
    <xf numFmtId="3" fontId="0" fillId="0" borderId="20" xfId="0" applyNumberFormat="1" applyBorder="1"/>
    <xf numFmtId="0" fontId="2" fillId="0" borderId="0" xfId="0" applyFont="1" applyFill="1" applyBorder="1"/>
    <xf numFmtId="0" fontId="0" fillId="5" borderId="0" xfId="0" applyFill="1"/>
    <xf numFmtId="3" fontId="21" fillId="0" borderId="12" xfId="0" applyNumberFormat="1" applyFont="1" applyFill="1" applyBorder="1"/>
    <xf numFmtId="0" fontId="0" fillId="0" borderId="5" xfId="0" applyBorder="1" applyAlignment="1">
      <alignment horizontal="right"/>
    </xf>
    <xf numFmtId="0" fontId="16" fillId="0" borderId="0" xfId="3" applyFont="1" applyFill="1"/>
    <xf numFmtId="0" fontId="17" fillId="0" borderId="0" xfId="3" applyFont="1" applyFill="1"/>
    <xf numFmtId="3" fontId="0" fillId="0" borderId="0" xfId="0" applyNumberFormat="1" applyFill="1"/>
    <xf numFmtId="164" fontId="0" fillId="0" borderId="0" xfId="1" applyNumberFormat="1" applyFont="1" applyFill="1"/>
    <xf numFmtId="0" fontId="0" fillId="8" borderId="0" xfId="0" applyFill="1"/>
    <xf numFmtId="10" fontId="0" fillId="0" borderId="21" xfId="0" applyNumberFormat="1" applyFill="1" applyBorder="1"/>
    <xf numFmtId="164" fontId="0" fillId="0" borderId="0" xfId="0" applyNumberFormat="1"/>
    <xf numFmtId="0" fontId="16" fillId="4" borderId="0" xfId="3" applyFont="1" applyFill="1"/>
    <xf numFmtId="0" fontId="17" fillId="4" borderId="0" xfId="3" applyFont="1" applyFill="1"/>
    <xf numFmtId="0" fontId="17" fillId="4" borderId="0" xfId="4" applyFont="1" applyFill="1"/>
    <xf numFmtId="170" fontId="17" fillId="4" borderId="0" xfId="3" applyNumberFormat="1" applyFont="1" applyFill="1"/>
    <xf numFmtId="170" fontId="17" fillId="0" borderId="0" xfId="3" applyNumberFormat="1" applyFont="1"/>
    <xf numFmtId="0" fontId="17" fillId="0" borderId="0" xfId="3" applyFont="1"/>
    <xf numFmtId="0" fontId="16" fillId="11" borderId="22" xfId="3" applyFont="1" applyFill="1" applyBorder="1"/>
    <xf numFmtId="0" fontId="16" fillId="11" borderId="23" xfId="3" applyFont="1" applyFill="1" applyBorder="1"/>
    <xf numFmtId="0" fontId="16" fillId="11" borderId="24" xfId="3" applyFont="1" applyFill="1" applyBorder="1"/>
    <xf numFmtId="0" fontId="17" fillId="11" borderId="23" xfId="3" applyFont="1" applyFill="1" applyBorder="1"/>
    <xf numFmtId="0" fontId="17" fillId="11" borderId="24" xfId="3" applyFont="1" applyFill="1" applyBorder="1"/>
    <xf numFmtId="0" fontId="17" fillId="4" borderId="7" xfId="3" applyFont="1" applyFill="1" applyBorder="1"/>
    <xf numFmtId="0" fontId="17" fillId="4" borderId="0" xfId="3" applyFont="1" applyFill="1" applyAlignment="1">
      <alignment horizontal="left"/>
    </xf>
    <xf numFmtId="38" fontId="17" fillId="4" borderId="8" xfId="3" applyNumberFormat="1" applyFont="1" applyFill="1" applyBorder="1"/>
    <xf numFmtId="0" fontId="17" fillId="4" borderId="7" xfId="3" applyFont="1" applyFill="1" applyBorder="1" applyAlignment="1">
      <alignment horizontal="left"/>
    </xf>
    <xf numFmtId="0" fontId="16" fillId="4" borderId="7" xfId="3" applyFont="1" applyFill="1" applyBorder="1"/>
    <xf numFmtId="37" fontId="17" fillId="4" borderId="8" xfId="3" applyNumberFormat="1" applyFont="1" applyFill="1" applyBorder="1"/>
    <xf numFmtId="171" fontId="24" fillId="4" borderId="25" xfId="4" applyNumberFormat="1" applyFont="1" applyFill="1" applyBorder="1"/>
    <xf numFmtId="37" fontId="17" fillId="4" borderId="8" xfId="4" applyNumberFormat="1" applyFont="1" applyFill="1" applyBorder="1"/>
    <xf numFmtId="0" fontId="17" fillId="4" borderId="10" xfId="3" applyFont="1" applyFill="1" applyBorder="1"/>
    <xf numFmtId="0" fontId="16" fillId="4" borderId="9" xfId="3" applyFont="1" applyFill="1" applyBorder="1" applyAlignment="1">
      <alignment horizontal="left"/>
    </xf>
    <xf numFmtId="0" fontId="17" fillId="4" borderId="9" xfId="3" applyFont="1" applyFill="1" applyBorder="1"/>
    <xf numFmtId="173" fontId="16" fillId="4" borderId="11" xfId="4" applyNumberFormat="1" applyFont="1" applyFill="1" applyBorder="1"/>
    <xf numFmtId="170" fontId="16" fillId="4" borderId="0" xfId="3" applyNumberFormat="1" applyFont="1" applyFill="1"/>
    <xf numFmtId="10" fontId="17" fillId="4" borderId="0" xfId="3" applyNumberFormat="1" applyFont="1" applyFill="1"/>
    <xf numFmtId="169" fontId="23" fillId="4" borderId="0" xfId="3" applyNumberFormat="1" applyFont="1" applyFill="1"/>
    <xf numFmtId="0" fontId="17" fillId="4" borderId="8" xfId="3" applyFont="1" applyFill="1" applyBorder="1"/>
    <xf numFmtId="0" fontId="17" fillId="4" borderId="1" xfId="3" applyFont="1" applyFill="1" applyBorder="1"/>
    <xf numFmtId="0" fontId="17" fillId="4" borderId="2" xfId="3" applyFont="1" applyFill="1" applyBorder="1" applyAlignment="1">
      <alignment horizontal="left"/>
    </xf>
    <xf numFmtId="0" fontId="17" fillId="4" borderId="2" xfId="3" applyFont="1" applyFill="1" applyBorder="1"/>
    <xf numFmtId="170" fontId="17" fillId="4" borderId="3" xfId="3" applyNumberFormat="1" applyFont="1" applyFill="1" applyBorder="1"/>
    <xf numFmtId="9" fontId="24" fillId="4" borderId="25" xfId="4" applyNumberFormat="1" applyFont="1" applyFill="1" applyBorder="1"/>
    <xf numFmtId="0" fontId="16" fillId="4" borderId="10" xfId="3" applyFont="1" applyFill="1" applyBorder="1"/>
    <xf numFmtId="0" fontId="17" fillId="4" borderId="11" xfId="3" applyFont="1" applyFill="1" applyBorder="1"/>
    <xf numFmtId="0" fontId="22" fillId="4" borderId="0" xfId="3" applyFill="1"/>
    <xf numFmtId="170" fontId="16" fillId="4" borderId="11" xfId="4" applyNumberFormat="1" applyFont="1" applyFill="1" applyBorder="1"/>
    <xf numFmtId="0" fontId="16" fillId="11" borderId="23" xfId="3" applyFont="1" applyFill="1" applyBorder="1" applyAlignment="1">
      <alignment horizontal="right"/>
    </xf>
    <xf numFmtId="0" fontId="16" fillId="11" borderId="24" xfId="3" applyFont="1" applyFill="1" applyBorder="1" applyAlignment="1">
      <alignment horizontal="right"/>
    </xf>
    <xf numFmtId="0" fontId="17" fillId="4" borderId="0" xfId="3" applyFont="1" applyFill="1" applyBorder="1"/>
    <xf numFmtId="38" fontId="17" fillId="4" borderId="0" xfId="3" applyNumberFormat="1" applyFont="1" applyFill="1" applyBorder="1"/>
    <xf numFmtId="38" fontId="17" fillId="0" borderId="0" xfId="3" applyNumberFormat="1" applyFont="1"/>
    <xf numFmtId="38" fontId="16" fillId="4" borderId="0" xfId="3" applyNumberFormat="1" applyFont="1" applyFill="1" applyBorder="1"/>
    <xf numFmtId="38" fontId="16" fillId="4" borderId="8" xfId="3" applyNumberFormat="1" applyFont="1" applyFill="1" applyBorder="1"/>
    <xf numFmtId="0" fontId="16" fillId="4" borderId="0" xfId="3" applyFont="1" applyFill="1" applyBorder="1"/>
    <xf numFmtId="37" fontId="17" fillId="0" borderId="0" xfId="3" applyNumberFormat="1" applyFont="1"/>
    <xf numFmtId="0" fontId="16" fillId="4" borderId="9" xfId="3" applyFont="1" applyFill="1" applyBorder="1"/>
    <xf numFmtId="7" fontId="16" fillId="12" borderId="9" xfId="3" applyNumberFormat="1" applyFont="1" applyFill="1" applyBorder="1"/>
    <xf numFmtId="7" fontId="16" fillId="4" borderId="11" xfId="3" applyNumberFormat="1" applyFont="1" applyFill="1" applyBorder="1"/>
    <xf numFmtId="0" fontId="25" fillId="0" borderId="0" xfId="0" applyFont="1" applyFill="1" applyBorder="1"/>
    <xf numFmtId="0" fontId="6" fillId="0" borderId="0" xfId="0" applyFont="1" applyFill="1" applyBorder="1"/>
    <xf numFmtId="39" fontId="17" fillId="0" borderId="8" xfId="3" applyNumberFormat="1" applyFont="1" applyFill="1" applyBorder="1"/>
    <xf numFmtId="38" fontId="17" fillId="0" borderId="8" xfId="3" applyNumberFormat="1" applyFont="1" applyFill="1" applyBorder="1"/>
    <xf numFmtId="10" fontId="16" fillId="10" borderId="9" xfId="3" applyNumberFormat="1" applyFont="1" applyFill="1" applyBorder="1"/>
    <xf numFmtId="164" fontId="0" fillId="0" borderId="0" xfId="0" applyNumberFormat="1" applyFill="1" applyBorder="1"/>
    <xf numFmtId="10" fontId="23" fillId="0" borderId="0" xfId="3" applyNumberFormat="1" applyFont="1" applyFill="1"/>
    <xf numFmtId="172" fontId="23" fillId="0" borderId="0" xfId="3" applyNumberFormat="1" applyFont="1" applyFill="1"/>
    <xf numFmtId="10" fontId="26" fillId="5" borderId="0" xfId="3" applyNumberFormat="1" applyFont="1" applyFill="1"/>
    <xf numFmtId="38" fontId="17" fillId="4" borderId="8" xfId="4" applyNumberFormat="1" applyFont="1" applyFill="1" applyBorder="1"/>
    <xf numFmtId="0" fontId="3" fillId="2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</cellXfs>
  <cellStyles count="5">
    <cellStyle name="Comma" xfId="1" builtinId="3"/>
    <cellStyle name="Normal" xfId="0" builtinId="0"/>
    <cellStyle name="Normal 2" xfId="3"/>
    <cellStyle name="Normal 2 2" xfId="2"/>
    <cellStyle name="Normal_DCF analysis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3.7109375" customWidth="1"/>
    <col min="3" max="3" width="78.85546875" bestFit="1" customWidth="1"/>
    <col min="4" max="4" width="10.28515625" bestFit="1" customWidth="1"/>
    <col min="5" max="7" width="10.85546875" bestFit="1" customWidth="1"/>
    <col min="8" max="8" width="12.85546875" bestFit="1" customWidth="1"/>
    <col min="9" max="10" width="10.85546875" customWidth="1"/>
    <col min="11" max="11" width="11.5703125" bestFit="1" customWidth="1"/>
    <col min="12" max="12" width="10.7109375" bestFit="1" customWidth="1"/>
    <col min="13" max="14" width="10.5703125" bestFit="1" customWidth="1"/>
  </cols>
  <sheetData>
    <row r="1" spans="1:16" x14ac:dyDescent="0.25">
      <c r="H1" t="s">
        <v>115</v>
      </c>
    </row>
    <row r="2" spans="1:16" x14ac:dyDescent="0.25">
      <c r="B2" s="1"/>
      <c r="C2" s="2"/>
      <c r="D2" s="2"/>
      <c r="E2" s="240" t="s">
        <v>1</v>
      </c>
      <c r="F2" s="240"/>
      <c r="G2" s="240"/>
      <c r="H2" s="62"/>
      <c r="I2" s="62"/>
      <c r="J2" s="241" t="s">
        <v>2</v>
      </c>
      <c r="K2" s="241"/>
      <c r="L2" s="241"/>
      <c r="M2" s="241"/>
      <c r="N2" s="242"/>
      <c r="P2" s="147" t="s">
        <v>230</v>
      </c>
    </row>
    <row r="3" spans="1:16" ht="15.75" thickBot="1" x14ac:dyDescent="0.3">
      <c r="B3" s="3" t="s">
        <v>3</v>
      </c>
      <c r="C3" s="14"/>
      <c r="D3" s="14"/>
      <c r="E3" s="5" t="s">
        <v>4</v>
      </c>
      <c r="F3" s="5" t="s">
        <v>5</v>
      </c>
      <c r="G3" s="5" t="s">
        <v>11</v>
      </c>
      <c r="H3" s="5" t="s">
        <v>114</v>
      </c>
      <c r="I3" s="5" t="s">
        <v>113</v>
      </c>
      <c r="J3" s="5" t="s">
        <v>116</v>
      </c>
      <c r="K3" s="5" t="s">
        <v>6</v>
      </c>
      <c r="L3" s="5" t="s">
        <v>7</v>
      </c>
      <c r="M3" s="5" t="s">
        <v>8</v>
      </c>
      <c r="N3" s="6" t="s">
        <v>10</v>
      </c>
    </row>
    <row r="4" spans="1:16" x14ac:dyDescent="0.25">
      <c r="B4" s="7"/>
      <c r="C4" s="4"/>
      <c r="D4" s="4" t="s">
        <v>9</v>
      </c>
      <c r="E4" s="4"/>
      <c r="F4" s="4"/>
      <c r="G4" s="4"/>
      <c r="H4" s="4"/>
      <c r="I4" s="4"/>
      <c r="J4" s="4"/>
      <c r="K4" s="4"/>
      <c r="L4" s="4"/>
      <c r="M4" s="4"/>
      <c r="N4" s="8"/>
    </row>
    <row r="5" spans="1:16" x14ac:dyDescent="0.25">
      <c r="B5" s="7" t="s">
        <v>0</v>
      </c>
      <c r="C5" s="4"/>
      <c r="D5" s="26">
        <v>52826115</v>
      </c>
      <c r="E5" s="22">
        <f>E11</f>
        <v>48639742</v>
      </c>
      <c r="F5" s="22">
        <f>F11</f>
        <v>55210901</v>
      </c>
      <c r="G5" s="22">
        <f>G11</f>
        <v>51901991</v>
      </c>
      <c r="H5" s="22">
        <f>H11</f>
        <v>26219471</v>
      </c>
      <c r="I5" s="22">
        <f>I11</f>
        <v>6222665</v>
      </c>
      <c r="J5" s="22">
        <f t="shared" ref="J5:N5" si="0">J11</f>
        <v>6222665</v>
      </c>
      <c r="K5" s="22">
        <f>K11</f>
        <v>12445330</v>
      </c>
      <c r="L5" s="22">
        <f t="shared" si="0"/>
        <v>21911169.962583378</v>
      </c>
      <c r="M5" s="22">
        <f t="shared" si="0"/>
        <v>40596859.344972648</v>
      </c>
      <c r="N5" s="51">
        <f t="shared" si="0"/>
        <v>49606378.824754372</v>
      </c>
      <c r="P5" t="s">
        <v>133</v>
      </c>
    </row>
    <row r="6" spans="1:16" x14ac:dyDescent="0.25">
      <c r="B6" s="7"/>
      <c r="C6" s="4" t="s">
        <v>30</v>
      </c>
      <c r="D6" s="4"/>
      <c r="E6" s="9">
        <v>55946870</v>
      </c>
      <c r="F6" s="9">
        <v>65230209</v>
      </c>
      <c r="G6" s="9">
        <v>57205198</v>
      </c>
      <c r="H6" s="9">
        <v>29581395</v>
      </c>
      <c r="I6" s="9">
        <v>5714749</v>
      </c>
      <c r="J6" s="22">
        <f>I6*(1+J50)</f>
        <v>5714749</v>
      </c>
      <c r="K6" s="12">
        <f>I6+J6</f>
        <v>11429498</v>
      </c>
      <c r="L6" s="22">
        <f>K6*(1+L50)</f>
        <v>22858996</v>
      </c>
      <c r="M6" s="22">
        <f>L6*(1+M50)</f>
        <v>45717992</v>
      </c>
      <c r="N6" s="51">
        <f>M6*(1+N50)</f>
        <v>57147490</v>
      </c>
    </row>
    <row r="7" spans="1:16" x14ac:dyDescent="0.25">
      <c r="B7" s="7"/>
      <c r="C7" s="4" t="s">
        <v>31</v>
      </c>
      <c r="D7" s="4"/>
      <c r="E7" s="9">
        <v>-15323345</v>
      </c>
      <c r="F7" s="9">
        <v>-18205467</v>
      </c>
      <c r="G7" s="9">
        <v>-13623781</v>
      </c>
      <c r="H7" s="9">
        <v>-7347049</v>
      </c>
      <c r="I7" s="9">
        <v>-1393132</v>
      </c>
      <c r="J7" s="22">
        <f>-J6*J51</f>
        <v>-1393132</v>
      </c>
      <c r="K7" s="12">
        <f>I7+J7</f>
        <v>-2786264</v>
      </c>
      <c r="L7" s="22">
        <f>-L6*L51</f>
        <v>-6028244.9150100853</v>
      </c>
      <c r="M7" s="22">
        <f t="shared" ref="M7:N7" si="1">-M6*M51</f>
        <v>-12056489.830020171</v>
      </c>
      <c r="N7" s="51">
        <f t="shared" si="1"/>
        <v>-15070612.287525214</v>
      </c>
    </row>
    <row r="8" spans="1:16" x14ac:dyDescent="0.25">
      <c r="B8" s="7"/>
      <c r="C8" s="4" t="s">
        <v>32</v>
      </c>
      <c r="D8" s="4"/>
      <c r="E8" s="22">
        <f>E6+E7</f>
        <v>40623525</v>
      </c>
      <c r="F8" s="22">
        <f>F6+F7</f>
        <v>47024742</v>
      </c>
      <c r="G8" s="22">
        <f>G6+G7</f>
        <v>43581417</v>
      </c>
      <c r="H8" s="22">
        <f>H6+H7</f>
        <v>22234346</v>
      </c>
      <c r="I8" s="22">
        <f>I6+I7</f>
        <v>4321617</v>
      </c>
      <c r="J8" s="22">
        <f t="shared" ref="J8:N8" si="2">J6+J7</f>
        <v>4321617</v>
      </c>
      <c r="K8" s="12">
        <f>I8+J8</f>
        <v>8643234</v>
      </c>
      <c r="L8" s="22">
        <f t="shared" si="2"/>
        <v>16830751.084989913</v>
      </c>
      <c r="M8" s="22">
        <f t="shared" si="2"/>
        <v>33661502.169979826</v>
      </c>
      <c r="N8" s="51">
        <f t="shared" si="2"/>
        <v>42076877.712474786</v>
      </c>
    </row>
    <row r="9" spans="1:16" x14ac:dyDescent="0.25">
      <c r="B9" s="7"/>
      <c r="C9" s="21" t="s">
        <v>34</v>
      </c>
      <c r="D9" s="4"/>
      <c r="E9" s="9">
        <v>4948839</v>
      </c>
      <c r="F9" s="9">
        <v>5297977</v>
      </c>
      <c r="G9" s="9">
        <v>5486582</v>
      </c>
      <c r="H9" s="9">
        <v>2652659</v>
      </c>
      <c r="I9" s="9">
        <v>678841</v>
      </c>
      <c r="J9" s="22">
        <f>J6*J52</f>
        <v>678841</v>
      </c>
      <c r="K9" s="12">
        <f>I9+J9</f>
        <v>1357682</v>
      </c>
      <c r="L9" s="22">
        <f t="shared" ref="L9:M9" si="3">L6*L52</f>
        <v>2192418.8775934661</v>
      </c>
      <c r="M9" s="22">
        <f t="shared" si="3"/>
        <v>4047357.174992824</v>
      </c>
      <c r="N9" s="51">
        <f>N6*N52</f>
        <v>4641501.1122795884</v>
      </c>
    </row>
    <row r="10" spans="1:16" x14ac:dyDescent="0.25">
      <c r="B10" s="7"/>
      <c r="C10" s="21" t="s">
        <v>33</v>
      </c>
      <c r="D10" s="4"/>
      <c r="E10" s="9">
        <v>3067378</v>
      </c>
      <c r="F10" s="9">
        <v>2888182</v>
      </c>
      <c r="G10" s="9">
        <v>2833992</v>
      </c>
      <c r="H10" s="9">
        <v>1332466</v>
      </c>
      <c r="I10" s="9">
        <v>1222207</v>
      </c>
      <c r="J10" s="22">
        <f>I10</f>
        <v>1222207</v>
      </c>
      <c r="K10" s="12">
        <f>I10+J10</f>
        <v>2444414</v>
      </c>
      <c r="L10" s="50">
        <f>2888000</f>
        <v>2888000</v>
      </c>
      <c r="M10" s="50">
        <f t="shared" ref="M10:N10" si="4">2888000</f>
        <v>2888000</v>
      </c>
      <c r="N10" s="52">
        <f t="shared" si="4"/>
        <v>2888000</v>
      </c>
      <c r="P10" t="s">
        <v>134</v>
      </c>
    </row>
    <row r="11" spans="1:16" x14ac:dyDescent="0.25">
      <c r="B11" s="7"/>
      <c r="C11" s="21" t="s">
        <v>35</v>
      </c>
      <c r="D11" s="4"/>
      <c r="E11" s="22">
        <f>E8+E9+E10</f>
        <v>48639742</v>
      </c>
      <c r="F11" s="22">
        <f>F8+F9+F10</f>
        <v>55210901</v>
      </c>
      <c r="G11" s="22">
        <f>G8+G9+G10</f>
        <v>51901991</v>
      </c>
      <c r="H11" s="22">
        <f>H8+H9+H10</f>
        <v>26219471</v>
      </c>
      <c r="I11" s="22">
        <f>I8+I9+I10</f>
        <v>6222665</v>
      </c>
      <c r="J11" s="22">
        <f t="shared" ref="J11:N11" si="5">J8+J9+J10</f>
        <v>6222665</v>
      </c>
      <c r="K11" s="22">
        <f>K8+K9+K10</f>
        <v>12445330</v>
      </c>
      <c r="L11" s="22">
        <f t="shared" si="5"/>
        <v>21911169.962583378</v>
      </c>
      <c r="M11" s="22">
        <f t="shared" si="5"/>
        <v>40596859.344972648</v>
      </c>
      <c r="N11" s="51">
        <f t="shared" si="5"/>
        <v>49606378.824754372</v>
      </c>
    </row>
    <row r="12" spans="1:16" x14ac:dyDescent="0.25">
      <c r="B12" s="7"/>
      <c r="C12" s="4"/>
      <c r="D12" s="4"/>
      <c r="E12" s="9"/>
      <c r="F12" s="9"/>
      <c r="G12" s="9"/>
      <c r="H12" s="9"/>
      <c r="I12" s="9"/>
      <c r="J12" s="9"/>
      <c r="K12" s="10"/>
      <c r="L12" s="10"/>
      <c r="M12" s="10"/>
      <c r="N12" s="11"/>
    </row>
    <row r="13" spans="1:16" x14ac:dyDescent="0.25">
      <c r="B13" s="7" t="s">
        <v>17</v>
      </c>
      <c r="C13" s="4"/>
      <c r="D13" s="4"/>
      <c r="E13" s="9">
        <v>597646</v>
      </c>
      <c r="F13" s="9">
        <v>1146210</v>
      </c>
      <c r="G13" s="9">
        <f>SUM(G14:G23)</f>
        <v>1113294</v>
      </c>
      <c r="H13" s="9">
        <v>582778</v>
      </c>
      <c r="I13" s="9">
        <f>SUM(I14:I23)</f>
        <v>326082</v>
      </c>
      <c r="J13" s="54"/>
      <c r="K13" s="22">
        <f ca="1">SUM(K14:K23)</f>
        <v>896482.80673051951</v>
      </c>
      <c r="L13" s="22">
        <f t="shared" ref="L13:N13" ca="1" si="6">SUM(L14:L23)</f>
        <v>869928.70199243713</v>
      </c>
      <c r="M13" s="22">
        <f t="shared" ca="1" si="6"/>
        <v>848895.25011309911</v>
      </c>
      <c r="N13" s="22">
        <f t="shared" ca="1" si="6"/>
        <v>841782.96073417412</v>
      </c>
      <c r="O13" t="s">
        <v>138</v>
      </c>
      <c r="P13" t="s">
        <v>132</v>
      </c>
    </row>
    <row r="14" spans="1:16" x14ac:dyDescent="0.25">
      <c r="B14" s="7"/>
      <c r="C14" s="21" t="s">
        <v>231</v>
      </c>
      <c r="D14" s="4"/>
      <c r="E14" s="9"/>
      <c r="F14" s="9">
        <v>146126</v>
      </c>
      <c r="G14" s="9">
        <v>355393</v>
      </c>
      <c r="H14" s="146"/>
      <c r="I14" s="9">
        <v>248211</v>
      </c>
      <c r="J14" s="22"/>
      <c r="K14" s="58">
        <f ca="1">'Debt Schedule'!I32</f>
        <v>96482.806730519529</v>
      </c>
      <c r="L14" s="58">
        <f ca="1">'Debt Schedule'!J32</f>
        <v>69928.701992437112</v>
      </c>
      <c r="M14" s="58">
        <f ca="1">'Debt Schedule'!K32</f>
        <v>48895.250113099086</v>
      </c>
      <c r="N14" s="58">
        <f ca="1">'Debt Schedule'!L32</f>
        <v>41782.960734174063</v>
      </c>
    </row>
    <row r="15" spans="1:16" x14ac:dyDescent="0.25">
      <c r="A15" t="s">
        <v>219</v>
      </c>
      <c r="B15" s="7"/>
      <c r="C15" s="21" t="s">
        <v>45</v>
      </c>
      <c r="D15" s="4"/>
      <c r="E15" s="9">
        <v>342287</v>
      </c>
      <c r="F15" s="9">
        <v>846656</v>
      </c>
      <c r="G15" s="9">
        <v>937087</v>
      </c>
      <c r="H15" s="146"/>
      <c r="I15" s="9">
        <v>387557</v>
      </c>
      <c r="J15" s="22"/>
      <c r="K15" s="9">
        <v>800000</v>
      </c>
      <c r="L15" s="9">
        <v>800000</v>
      </c>
      <c r="M15" s="9">
        <v>800000</v>
      </c>
      <c r="N15" s="87">
        <v>800000</v>
      </c>
      <c r="P15" t="s">
        <v>241</v>
      </c>
    </row>
    <row r="16" spans="1:16" x14ac:dyDescent="0.25">
      <c r="B16" s="7"/>
      <c r="C16" s="21" t="s">
        <v>232</v>
      </c>
      <c r="D16" s="4"/>
      <c r="E16" s="9"/>
      <c r="F16" s="9">
        <v>546</v>
      </c>
      <c r="G16" s="9">
        <v>293</v>
      </c>
      <c r="H16" s="146"/>
      <c r="I16" s="9">
        <v>49</v>
      </c>
      <c r="J16" s="22"/>
      <c r="K16" s="148">
        <v>0</v>
      </c>
      <c r="L16" s="148">
        <v>0</v>
      </c>
      <c r="M16" s="148">
        <v>0</v>
      </c>
      <c r="N16" s="149">
        <v>0</v>
      </c>
      <c r="P16" t="s">
        <v>239</v>
      </c>
    </row>
    <row r="17" spans="1:16" x14ac:dyDescent="0.25">
      <c r="B17" s="7"/>
      <c r="C17" s="21" t="s">
        <v>233</v>
      </c>
      <c r="D17" s="4"/>
      <c r="E17" s="9"/>
      <c r="F17" s="9">
        <v>1173</v>
      </c>
      <c r="G17" s="9">
        <v>1177</v>
      </c>
      <c r="H17" s="146"/>
      <c r="I17" s="100">
        <v>452</v>
      </c>
      <c r="J17" s="22"/>
      <c r="K17" s="148">
        <v>0</v>
      </c>
      <c r="L17" s="148">
        <v>0</v>
      </c>
      <c r="M17" s="148">
        <v>0</v>
      </c>
      <c r="N17" s="149">
        <v>0</v>
      </c>
      <c r="P17" t="s">
        <v>239</v>
      </c>
    </row>
    <row r="18" spans="1:16" x14ac:dyDescent="0.25">
      <c r="B18" s="7"/>
      <c r="C18" s="21" t="s">
        <v>234</v>
      </c>
      <c r="D18" s="4"/>
      <c r="E18" s="9"/>
      <c r="F18" s="9">
        <v>4100</v>
      </c>
      <c r="G18" s="9">
        <v>12045</v>
      </c>
      <c r="H18" s="146"/>
      <c r="I18" s="9">
        <v>2500</v>
      </c>
      <c r="J18" s="22"/>
      <c r="K18" s="148">
        <v>0</v>
      </c>
      <c r="L18" s="148">
        <v>0</v>
      </c>
      <c r="M18" s="148">
        <v>0</v>
      </c>
      <c r="N18" s="149">
        <v>0</v>
      </c>
      <c r="P18" t="s">
        <v>222</v>
      </c>
    </row>
    <row r="19" spans="1:16" x14ac:dyDescent="0.25">
      <c r="B19" s="7"/>
      <c r="C19" s="21" t="s">
        <v>235</v>
      </c>
      <c r="D19" s="4"/>
      <c r="E19" s="9"/>
      <c r="F19" s="9">
        <v>65030</v>
      </c>
      <c r="G19" s="9">
        <v>107008</v>
      </c>
      <c r="H19" s="146"/>
      <c r="I19" s="9">
        <v>28225</v>
      </c>
      <c r="J19" s="22"/>
      <c r="K19" s="148">
        <v>0</v>
      </c>
      <c r="L19" s="148">
        <v>0</v>
      </c>
      <c r="M19" s="148">
        <v>0</v>
      </c>
      <c r="N19" s="149">
        <v>0</v>
      </c>
      <c r="P19" t="s">
        <v>222</v>
      </c>
    </row>
    <row r="20" spans="1:16" x14ac:dyDescent="0.25">
      <c r="B20" s="7"/>
      <c r="C20" s="21" t="s">
        <v>236</v>
      </c>
      <c r="D20" s="4"/>
      <c r="E20" s="9"/>
      <c r="F20" s="9">
        <v>2159</v>
      </c>
      <c r="G20" s="9">
        <v>2268</v>
      </c>
      <c r="H20" s="146"/>
      <c r="I20" s="9">
        <v>275</v>
      </c>
      <c r="J20" s="22"/>
      <c r="K20" s="148">
        <v>0</v>
      </c>
      <c r="L20" s="148">
        <v>0</v>
      </c>
      <c r="M20" s="148">
        <v>0</v>
      </c>
      <c r="N20" s="149">
        <v>0</v>
      </c>
      <c r="P20" t="s">
        <v>239</v>
      </c>
    </row>
    <row r="21" spans="1:16" x14ac:dyDescent="0.25">
      <c r="B21" s="7"/>
      <c r="C21" s="21" t="s">
        <v>237</v>
      </c>
      <c r="D21" s="4"/>
      <c r="E21" s="9"/>
      <c r="F21" s="9">
        <v>3562</v>
      </c>
      <c r="G21" s="9">
        <v>-120173</v>
      </c>
      <c r="H21" s="146"/>
      <c r="I21" s="50">
        <v>-156501</v>
      </c>
      <c r="J21" s="10"/>
      <c r="K21" s="148">
        <v>0</v>
      </c>
      <c r="L21" s="148">
        <v>0</v>
      </c>
      <c r="M21" s="148">
        <v>0</v>
      </c>
      <c r="N21" s="149">
        <v>0</v>
      </c>
      <c r="P21" t="s">
        <v>240</v>
      </c>
    </row>
    <row r="22" spans="1:16" x14ac:dyDescent="0.25">
      <c r="B22" s="7"/>
      <c r="C22" s="21" t="s">
        <v>224</v>
      </c>
      <c r="D22" s="4"/>
      <c r="E22" s="9"/>
      <c r="F22" s="9">
        <v>37270</v>
      </c>
      <c r="G22" s="9">
        <v>-227025</v>
      </c>
      <c r="H22" s="146"/>
      <c r="I22" s="50">
        <v>-205380</v>
      </c>
      <c r="J22" s="10"/>
      <c r="K22" s="148">
        <v>0</v>
      </c>
      <c r="L22" s="148">
        <v>0</v>
      </c>
      <c r="M22" s="148">
        <v>0</v>
      </c>
      <c r="N22" s="149">
        <v>0</v>
      </c>
      <c r="P22" t="s">
        <v>152</v>
      </c>
    </row>
    <row r="23" spans="1:16" x14ac:dyDescent="0.25">
      <c r="B23" s="7"/>
      <c r="C23" s="21" t="s">
        <v>225</v>
      </c>
      <c r="D23" s="4"/>
      <c r="E23" s="9"/>
      <c r="F23" s="9">
        <v>39588</v>
      </c>
      <c r="G23" s="9">
        <v>45221</v>
      </c>
      <c r="H23" s="146"/>
      <c r="I23" s="50">
        <v>20694</v>
      </c>
      <c r="J23" s="10"/>
      <c r="K23" s="148">
        <v>0</v>
      </c>
      <c r="L23" s="148">
        <v>0</v>
      </c>
      <c r="M23" s="148">
        <v>0</v>
      </c>
      <c r="N23" s="149">
        <v>0</v>
      </c>
      <c r="P23" t="s">
        <v>238</v>
      </c>
    </row>
    <row r="24" spans="1:16" x14ac:dyDescent="0.25">
      <c r="B24" s="7" t="s">
        <v>18</v>
      </c>
      <c r="C24" s="4"/>
      <c r="D24" s="4"/>
      <c r="E24" s="9">
        <v>-21999205</v>
      </c>
      <c r="F24" s="9">
        <v>-25619522</v>
      </c>
      <c r="G24" s="9">
        <v>-22487289</v>
      </c>
      <c r="H24" s="9">
        <v>-11626931</v>
      </c>
      <c r="I24" s="9">
        <v>-2315300</v>
      </c>
      <c r="J24" s="22">
        <f>-J53*J11</f>
        <v>-2315300</v>
      </c>
      <c r="K24" s="22">
        <f>I24+J24</f>
        <v>-4630600</v>
      </c>
      <c r="L24" s="22">
        <f>-L53*L11</f>
        <v>-9856983.0301223621</v>
      </c>
      <c r="M24" s="22">
        <f t="shared" ref="M24:N24" si="7">-M53*M11</f>
        <v>-18262947.817163467</v>
      </c>
      <c r="N24" s="51">
        <f t="shared" si="7"/>
        <v>-22315980.164291263</v>
      </c>
    </row>
    <row r="25" spans="1:16" x14ac:dyDescent="0.25">
      <c r="B25" s="7" t="s">
        <v>19</v>
      </c>
      <c r="C25" s="4"/>
      <c r="D25" s="4"/>
      <c r="E25" s="9">
        <v>-1261578</v>
      </c>
      <c r="F25" s="9">
        <v>-1199209</v>
      </c>
      <c r="G25" s="9">
        <v>-1087023</v>
      </c>
      <c r="H25" s="9">
        <v>-493944</v>
      </c>
      <c r="I25" s="9">
        <v>-500915</v>
      </c>
      <c r="J25" s="22">
        <f>-J54*J11</f>
        <v>-500914.99999999994</v>
      </c>
      <c r="K25" s="22">
        <f t="shared" ref="K25:K28" si="8">I25+J25</f>
        <v>-1001830</v>
      </c>
      <c r="L25" s="22">
        <f>-L54*L11</f>
        <v>-1314670.1977550026</v>
      </c>
      <c r="M25" s="22">
        <f t="shared" ref="M25" si="9">-M54*M11</f>
        <v>-1623874.3737989059</v>
      </c>
      <c r="N25" s="51">
        <f>-N54*N11</f>
        <v>-1134356.664562908</v>
      </c>
    </row>
    <row r="26" spans="1:16" x14ac:dyDescent="0.25">
      <c r="B26" s="20" t="s">
        <v>20</v>
      </c>
      <c r="C26" s="21"/>
      <c r="D26" s="4"/>
      <c r="E26" s="9">
        <v>-3348665</v>
      </c>
      <c r="F26" s="9">
        <v>-3315913</v>
      </c>
      <c r="G26" s="9">
        <v>-3456596</v>
      </c>
      <c r="H26" s="9">
        <v>-1663633</v>
      </c>
      <c r="I26" s="9">
        <v>-1597503</v>
      </c>
      <c r="J26" s="22"/>
      <c r="K26" s="58">
        <f>Depreciation!H8</f>
        <v>-3195006</v>
      </c>
      <c r="L26" s="58">
        <f>Depreciation!I8</f>
        <v>-3498428.4471677034</v>
      </c>
      <c r="M26" s="58">
        <f>Depreciation!J8</f>
        <v>-3489357.8058518679</v>
      </c>
      <c r="N26" s="82">
        <f>Depreciation!K8</f>
        <v>-3541536.625582675</v>
      </c>
      <c r="O26" t="s">
        <v>128</v>
      </c>
    </row>
    <row r="27" spans="1:16" x14ac:dyDescent="0.25">
      <c r="B27" s="20" t="s">
        <v>21</v>
      </c>
      <c r="C27" s="21"/>
      <c r="D27" s="4"/>
      <c r="E27" s="27">
        <v>-7368542</v>
      </c>
      <c r="F27" s="9">
        <v>-7784742</v>
      </c>
      <c r="G27" s="9">
        <v>-7981133</v>
      </c>
      <c r="H27" s="9">
        <v>-3987121</v>
      </c>
      <c r="I27" s="9">
        <v>-3681118</v>
      </c>
      <c r="J27" s="22">
        <f>-J55*J11</f>
        <v>-3681118</v>
      </c>
      <c r="K27" s="22">
        <f>I27+J27</f>
        <v>-7362236</v>
      </c>
      <c r="L27" s="22">
        <f>-L55*L11</f>
        <v>-9860026.4831625205</v>
      </c>
      <c r="M27" s="22">
        <f t="shared" ref="M27" si="10">-M55*M11</f>
        <v>-12179057.803491794</v>
      </c>
      <c r="N27" s="51">
        <f>-N55*N11</f>
        <v>-7628129.4690361368</v>
      </c>
    </row>
    <row r="28" spans="1:16" x14ac:dyDescent="0.25">
      <c r="B28" s="20" t="s">
        <v>22</v>
      </c>
      <c r="C28" s="21"/>
      <c r="D28" s="4"/>
      <c r="E28" s="9">
        <v>-4811282</v>
      </c>
      <c r="F28" s="9">
        <v>-5072801</v>
      </c>
      <c r="G28" s="9">
        <v>-5122254</v>
      </c>
      <c r="H28" s="9">
        <v>-2423392</v>
      </c>
      <c r="I28" s="9">
        <v>-1368490</v>
      </c>
      <c r="J28" s="22">
        <f>-J11*J56</f>
        <v>-1368490</v>
      </c>
      <c r="K28" s="22">
        <f t="shared" si="8"/>
        <v>-2736980</v>
      </c>
      <c r="L28" s="90">
        <f>-L11*L56</f>
        <v>-3944010.5932650077</v>
      </c>
      <c r="M28" s="90">
        <f t="shared" ref="M28:N28" si="11">-M11*M56</f>
        <v>-5683560.308296171</v>
      </c>
      <c r="N28" s="91">
        <f t="shared" si="11"/>
        <v>-4960637.8824754376</v>
      </c>
      <c r="P28" t="s">
        <v>135</v>
      </c>
    </row>
    <row r="29" spans="1:16" x14ac:dyDescent="0.25">
      <c r="B29" s="20" t="s">
        <v>23</v>
      </c>
      <c r="C29" s="21"/>
      <c r="D29" s="4"/>
      <c r="E29" s="9">
        <v>-63914</v>
      </c>
      <c r="F29" s="9">
        <v>-138775</v>
      </c>
      <c r="G29" s="9">
        <v>-129326</v>
      </c>
      <c r="H29" s="9">
        <v>-89501</v>
      </c>
      <c r="I29" s="9">
        <v>-16128</v>
      </c>
      <c r="J29" s="22"/>
      <c r="K29" s="58">
        <f>-'Debt Schedule'!I29</f>
        <v>-167867.25</v>
      </c>
      <c r="L29" s="58">
        <f>-'Debt Schedule'!J29</f>
        <v>-268116.52500000002</v>
      </c>
      <c r="M29" s="58">
        <f>-'Debt Schedule'!K29</f>
        <v>-198072.57500000001</v>
      </c>
      <c r="N29" s="82">
        <f>-'Debt Schedule'!L29</f>
        <v>-93437.450000000012</v>
      </c>
      <c r="O29" t="s">
        <v>128</v>
      </c>
      <c r="P29" t="s">
        <v>216</v>
      </c>
    </row>
    <row r="30" spans="1:16" x14ac:dyDescent="0.25">
      <c r="B30" s="7"/>
      <c r="C30" s="4"/>
      <c r="D30" s="4"/>
      <c r="E30" s="26"/>
      <c r="F30" s="4"/>
      <c r="G30" s="4"/>
      <c r="H30" s="4"/>
      <c r="I30" s="4"/>
      <c r="J30" s="4"/>
      <c r="K30" s="4"/>
      <c r="L30" s="4"/>
      <c r="M30" s="4"/>
      <c r="N30" s="8"/>
      <c r="P30" t="s">
        <v>217</v>
      </c>
    </row>
    <row r="31" spans="1:16" x14ac:dyDescent="0.25">
      <c r="B31" s="7" t="s">
        <v>24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8"/>
    </row>
    <row r="32" spans="1:16" x14ac:dyDescent="0.25">
      <c r="A32" s="101"/>
      <c r="B32" s="7" t="s">
        <v>25</v>
      </c>
      <c r="C32" s="4"/>
      <c r="D32" s="4"/>
      <c r="E32" s="9">
        <v>244275</v>
      </c>
      <c r="F32" s="9">
        <v>387585</v>
      </c>
      <c r="G32" s="9">
        <v>532173</v>
      </c>
      <c r="H32" s="9">
        <v>275028</v>
      </c>
      <c r="I32" s="9">
        <v>199842</v>
      </c>
      <c r="J32" s="54">
        <f>I32</f>
        <v>199842</v>
      </c>
      <c r="K32" s="22">
        <f>I32+J32</f>
        <v>399684</v>
      </c>
      <c r="L32" s="26">
        <f>AVERAGE(K32,G32,F32,E32)</f>
        <v>390929.25</v>
      </c>
      <c r="M32" s="26">
        <f>AVERAGE(L32,K32,G32,F32)</f>
        <v>427592.8125</v>
      </c>
      <c r="N32" s="53">
        <f>AVERAGE(M32,L32,K32,G32)</f>
        <v>437594.765625</v>
      </c>
      <c r="P32" t="s">
        <v>136</v>
      </c>
    </row>
    <row r="33" spans="1:16" x14ac:dyDescent="0.25">
      <c r="A33" s="101"/>
      <c r="B33" s="7" t="s">
        <v>26</v>
      </c>
      <c r="C33" s="4"/>
      <c r="D33" s="4"/>
      <c r="E33" s="28">
        <v>-100</v>
      </c>
      <c r="F33" s="9">
        <v>35</v>
      </c>
      <c r="G33" s="9">
        <v>-18</v>
      </c>
      <c r="H33" s="9">
        <v>-3</v>
      </c>
      <c r="I33" s="9">
        <v>79</v>
      </c>
      <c r="J33" s="54">
        <f>I33</f>
        <v>79</v>
      </c>
      <c r="K33" s="22">
        <f t="shared" ref="K33" si="12">I33+J33</f>
        <v>158</v>
      </c>
      <c r="L33" s="26">
        <f>AVERAGE(K33,G33,F33,E33)</f>
        <v>18.75</v>
      </c>
      <c r="M33" s="26">
        <f>AVERAGE(L33,K33,G33,F33)</f>
        <v>48.4375</v>
      </c>
      <c r="N33" s="53">
        <f>AVERAGE(M33,L33,K33,G33)</f>
        <v>51.796875</v>
      </c>
      <c r="P33" t="s">
        <v>136</v>
      </c>
    </row>
    <row r="34" spans="1:16" x14ac:dyDescent="0.25"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8"/>
    </row>
    <row r="35" spans="1:16" x14ac:dyDescent="0.25">
      <c r="B35" s="7" t="s">
        <v>27</v>
      </c>
      <c r="C35" s="4"/>
      <c r="D35" s="4"/>
      <c r="E35" s="26">
        <f>E5+E13+SUM(E24:E29)+SUM(E32:E33)</f>
        <v>10628377</v>
      </c>
      <c r="F35" s="26">
        <f>F5+F13+SUM(F24:F29)+SUM(F32:F33)</f>
        <v>13613769</v>
      </c>
      <c r="G35" s="26">
        <f>G5+G13+SUM(G24:G29)+SUM(G32:G33)</f>
        <v>13283819</v>
      </c>
      <c r="H35" s="26">
        <f>H5+H13+SUM(H24:H29)+SUM(H32:H33)</f>
        <v>6792752</v>
      </c>
      <c r="I35" s="26">
        <f>I5+I13+SUM(I24:I29)+SUM(I32:I33)</f>
        <v>-2730786</v>
      </c>
      <c r="J35" s="26">
        <f t="shared" ref="J35:N35" si="13">J5+J13+SUM(J24:J29)+SUM(J32:J33)</f>
        <v>-1443237</v>
      </c>
      <c r="K35" s="26">
        <f ca="1">K5+K13+SUM(K24:K29)+SUM(K32:K33)</f>
        <v>-5352864.44326948</v>
      </c>
      <c r="L35" s="26">
        <f ca="1">L5+L13+SUM(L24:L29)+SUM(L32:L33)</f>
        <v>-5570188.6118967794</v>
      </c>
      <c r="M35" s="26">
        <f t="shared" ca="1" si="13"/>
        <v>436525.16148353368</v>
      </c>
      <c r="N35" s="53">
        <f t="shared" ca="1" si="13"/>
        <v>11211730.092040122</v>
      </c>
    </row>
    <row r="36" spans="1:16" x14ac:dyDescent="0.25">
      <c r="B36" s="7" t="s">
        <v>28</v>
      </c>
      <c r="C36" s="4"/>
      <c r="D36" s="4"/>
      <c r="E36" s="9">
        <v>-112775</v>
      </c>
      <c r="F36" s="9">
        <v>-43485</v>
      </c>
      <c r="G36" s="9">
        <v>-155964</v>
      </c>
      <c r="H36" s="9">
        <v>-71328</v>
      </c>
      <c r="I36" s="9">
        <v>-71769</v>
      </c>
      <c r="J36" s="59"/>
      <c r="K36" s="22">
        <f>K57*K11</f>
        <v>146119.38390006669</v>
      </c>
      <c r="L36" s="22">
        <f>L57*L11</f>
        <v>257256.87108837857</v>
      </c>
      <c r="M36" s="22">
        <f>M57*M11</f>
        <v>200915.13136972912</v>
      </c>
      <c r="N36" s="51">
        <f>N57*N11</f>
        <v>245503.52611417725</v>
      </c>
      <c r="P36" t="s">
        <v>137</v>
      </c>
    </row>
    <row r="37" spans="1:16" x14ac:dyDescent="0.25">
      <c r="B37" s="7" t="s">
        <v>29</v>
      </c>
      <c r="C37" s="4"/>
      <c r="D37" s="4"/>
      <c r="E37" s="26">
        <f>E35+E36</f>
        <v>10515602</v>
      </c>
      <c r="F37" s="26">
        <f>F35+F36</f>
        <v>13570284</v>
      </c>
      <c r="G37" s="26">
        <f>G35+G36</f>
        <v>13127855</v>
      </c>
      <c r="H37" s="26">
        <f>H35+H36</f>
        <v>6721424</v>
      </c>
      <c r="I37" s="26">
        <f>I35+I36</f>
        <v>-2802555</v>
      </c>
      <c r="J37" s="26">
        <f t="shared" ref="J37:N37" si="14">J35+J36</f>
        <v>-1443237</v>
      </c>
      <c r="K37" s="22">
        <f>I37+J37</f>
        <v>-4245792</v>
      </c>
      <c r="L37" s="26">
        <f ca="1">L35+L36</f>
        <v>-5312931.7408084013</v>
      </c>
      <c r="M37" s="26">
        <f ca="1">M35+M36</f>
        <v>637440.29285326274</v>
      </c>
      <c r="N37" s="53">
        <f t="shared" ca="1" si="14"/>
        <v>11457233.618154299</v>
      </c>
    </row>
    <row r="38" spans="1:16" x14ac:dyDescent="0.25">
      <c r="B38" s="7"/>
      <c r="C38" s="4"/>
      <c r="D38" s="4"/>
      <c r="E38" s="4"/>
      <c r="F38" s="4"/>
      <c r="G38" s="4"/>
      <c r="H38" s="26"/>
      <c r="I38" s="26"/>
      <c r="J38" s="4"/>
      <c r="K38" s="4"/>
      <c r="L38" s="4"/>
      <c r="M38" s="4"/>
      <c r="N38" s="8"/>
    </row>
    <row r="39" spans="1:16" x14ac:dyDescent="0.25">
      <c r="B39" s="7" t="s">
        <v>260</v>
      </c>
      <c r="C39" s="4"/>
      <c r="D39" s="4"/>
      <c r="E39" s="4"/>
      <c r="F39" s="4"/>
      <c r="G39" s="4"/>
      <c r="H39" s="26"/>
      <c r="I39" s="26"/>
      <c r="J39" s="4"/>
      <c r="K39" s="26">
        <f ca="1">K35-K29-K14</f>
        <v>-5281480</v>
      </c>
      <c r="L39" s="26">
        <f t="shared" ref="L39:M39" ca="1" si="15">L35-L29-L14</f>
        <v>-5372000.7888892163</v>
      </c>
      <c r="M39" s="26">
        <f t="shared" ca="1" si="15"/>
        <v>585702.48637043452</v>
      </c>
      <c r="N39" s="26">
        <f ca="1">N35-N29-N14</f>
        <v>11263384.581305947</v>
      </c>
    </row>
    <row r="40" spans="1:16" x14ac:dyDescent="0.25">
      <c r="B40" s="7" t="s">
        <v>127</v>
      </c>
      <c r="C40" s="4"/>
      <c r="D40" s="4"/>
      <c r="E40" s="26">
        <f>E37-E29-E36-E26</f>
        <v>14040956</v>
      </c>
      <c r="F40" s="26">
        <f>F37-F29-F36-F26</f>
        <v>17068457</v>
      </c>
      <c r="G40" s="26">
        <f>G37-G29-G36-G26</f>
        <v>16869741</v>
      </c>
      <c r="H40" s="26">
        <f>H37-H29-H36-H26</f>
        <v>8545886</v>
      </c>
      <c r="I40" s="26">
        <f>I37-I29-I36-I26</f>
        <v>-1117155</v>
      </c>
      <c r="J40" s="26">
        <f t="shared" ref="J40" si="16">J37-J29-J36-J26</f>
        <v>-1443237</v>
      </c>
      <c r="K40" s="26">
        <f ca="1">K35-K29-K26-K14</f>
        <v>-2086473.9999999995</v>
      </c>
      <c r="L40" s="26">
        <f t="shared" ref="L40:N40" ca="1" si="17">L35-L29-L26-L14</f>
        <v>-1873572.3417215126</v>
      </c>
      <c r="M40" s="26">
        <f t="shared" ca="1" si="17"/>
        <v>4075060.2922223024</v>
      </c>
      <c r="N40" s="26">
        <f t="shared" ca="1" si="17"/>
        <v>14804921.206888622</v>
      </c>
    </row>
    <row r="41" spans="1:16" x14ac:dyDescent="0.25">
      <c r="B41" s="7"/>
      <c r="C41" s="4"/>
      <c r="D41" s="4"/>
      <c r="E41" s="4"/>
      <c r="F41" s="4"/>
      <c r="G41" s="4"/>
      <c r="H41" s="26"/>
      <c r="I41" s="26"/>
      <c r="J41" s="4"/>
      <c r="K41" s="4"/>
      <c r="L41" s="4"/>
      <c r="M41" s="4"/>
      <c r="N41" s="8"/>
    </row>
    <row r="42" spans="1:16" x14ac:dyDescent="0.25">
      <c r="B42" s="7" t="s">
        <v>36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8"/>
    </row>
    <row r="43" spans="1:16" ht="30" x14ac:dyDescent="0.25">
      <c r="A43" s="172"/>
      <c r="B43" s="7"/>
      <c r="C43" s="29" t="s">
        <v>95</v>
      </c>
      <c r="D43" s="4"/>
      <c r="E43" s="9">
        <v>276092</v>
      </c>
      <c r="F43" s="9">
        <v>-3215569</v>
      </c>
      <c r="G43" s="9">
        <v>1768354</v>
      </c>
      <c r="H43" s="9">
        <v>1129497</v>
      </c>
      <c r="I43" s="9">
        <v>-2646798</v>
      </c>
      <c r="J43" s="9">
        <v>0</v>
      </c>
      <c r="K43" s="26">
        <f>I43+J43</f>
        <v>-2646798</v>
      </c>
      <c r="L43" s="26">
        <f>G43</f>
        <v>1768354</v>
      </c>
      <c r="M43" s="26">
        <f>K43</f>
        <v>-2646798</v>
      </c>
      <c r="N43" s="53">
        <f>L43</f>
        <v>1768354</v>
      </c>
      <c r="O43" t="s">
        <v>138</v>
      </c>
      <c r="P43" t="s">
        <v>164</v>
      </c>
    </row>
    <row r="44" spans="1:16" x14ac:dyDescent="0.25">
      <c r="B44" s="7"/>
      <c r="C44" s="4" t="s">
        <v>37</v>
      </c>
      <c r="D44" s="4"/>
      <c r="E44" s="9">
        <v>79399</v>
      </c>
      <c r="F44" s="9">
        <v>-77848</v>
      </c>
      <c r="G44" s="9">
        <v>-40905</v>
      </c>
      <c r="H44" s="9">
        <v>-9114</v>
      </c>
      <c r="I44" s="9">
        <v>-47187</v>
      </c>
      <c r="J44" s="9">
        <v>0</v>
      </c>
      <c r="K44" s="26">
        <f>I44+J44</f>
        <v>-47187</v>
      </c>
      <c r="L44" s="26">
        <f>AVERAGE(K44,G44,F44,E44)</f>
        <v>-21635.25</v>
      </c>
      <c r="M44" s="26">
        <f>AVERAGE(L44,K44,G44,F44)</f>
        <v>-46893.8125</v>
      </c>
      <c r="N44" s="53">
        <f>AVERAGE(M44,L44,K44,G44)</f>
        <v>-39155.265625</v>
      </c>
      <c r="P44" t="s">
        <v>136</v>
      </c>
    </row>
    <row r="45" spans="1:16" x14ac:dyDescent="0.25">
      <c r="B45" s="7"/>
      <c r="C45" s="4" t="s">
        <v>38</v>
      </c>
      <c r="D45" s="4"/>
      <c r="E45" s="9">
        <v>91912</v>
      </c>
      <c r="F45" s="9">
        <v>-72590</v>
      </c>
      <c r="G45" s="9">
        <v>-28575</v>
      </c>
      <c r="H45" s="9">
        <v>-4461</v>
      </c>
      <c r="I45" s="9">
        <v>-26293</v>
      </c>
      <c r="J45" s="9">
        <v>0</v>
      </c>
      <c r="K45" s="26">
        <f>I45+J45</f>
        <v>-26293</v>
      </c>
      <c r="L45" s="26">
        <f>AVERAGE(K45,G45,F45,E45)</f>
        <v>-8886.5</v>
      </c>
      <c r="M45" s="26">
        <f>AVERAGE(L45,K45,G45,F45)</f>
        <v>-34086.125</v>
      </c>
      <c r="N45" s="53">
        <f>AVERAGE(M45,L45,K45,G45)</f>
        <v>-24460.15625</v>
      </c>
      <c r="P45" t="s">
        <v>136</v>
      </c>
    </row>
    <row r="46" spans="1:16" x14ac:dyDescent="0.25">
      <c r="A46" s="172"/>
      <c r="B46" s="7"/>
      <c r="C46" s="4" t="s">
        <v>39</v>
      </c>
      <c r="D46" s="4"/>
      <c r="E46" s="26">
        <f>SUM(E43:E45)</f>
        <v>447403</v>
      </c>
      <c r="F46" s="26">
        <f>SUM(F43:F45)</f>
        <v>-3366007</v>
      </c>
      <c r="G46" s="26">
        <f>SUM(G43:G45)</f>
        <v>1698874</v>
      </c>
      <c r="H46" s="26">
        <f>SUM(H43:H45)</f>
        <v>1115922</v>
      </c>
      <c r="I46" s="26">
        <f>SUM(I43:I45)</f>
        <v>-2720278</v>
      </c>
      <c r="J46" s="26">
        <f t="shared" ref="J46:N48" si="18">SUM(J43:J45)</f>
        <v>0</v>
      </c>
      <c r="K46" s="26">
        <f>I46+J46</f>
        <v>-2720278</v>
      </c>
      <c r="L46" s="26">
        <f>SUM(L43:L45)</f>
        <v>1737832.25</v>
      </c>
      <c r="M46" s="26">
        <f t="shared" si="18"/>
        <v>-2727777.9375</v>
      </c>
      <c r="N46" s="53">
        <f t="shared" si="18"/>
        <v>1704738.578125</v>
      </c>
    </row>
    <row r="47" spans="1:16" x14ac:dyDescent="0.25"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8"/>
    </row>
    <row r="48" spans="1:16" x14ac:dyDescent="0.25">
      <c r="B48" s="30" t="s">
        <v>40</v>
      </c>
      <c r="C48" s="31"/>
      <c r="D48" s="31"/>
      <c r="E48" s="32">
        <f>E37+E46</f>
        <v>10963005</v>
      </c>
      <c r="F48" s="32">
        <f>F37+F46</f>
        <v>10204277</v>
      </c>
      <c r="G48" s="32">
        <f>G37+G46</f>
        <v>14826729</v>
      </c>
      <c r="H48" s="32">
        <f>H37+H46</f>
        <v>7837346</v>
      </c>
      <c r="I48" s="32">
        <f>I37+I46</f>
        <v>-5522833</v>
      </c>
      <c r="J48" s="32">
        <f t="shared" si="18"/>
        <v>0</v>
      </c>
      <c r="K48" s="32">
        <f>I48+J48</f>
        <v>-5522833</v>
      </c>
      <c r="L48" s="32">
        <f ca="1">L37+L46</f>
        <v>-3575099.4908084013</v>
      </c>
      <c r="M48" s="32">
        <f ca="1">M37+M46</f>
        <v>-2090337.6446467373</v>
      </c>
      <c r="N48" s="97">
        <f ca="1">N37+N46</f>
        <v>13161972.196279299</v>
      </c>
    </row>
    <row r="50" spans="1:16" x14ac:dyDescent="0.25">
      <c r="B50" s="1"/>
      <c r="C50" s="2" t="s">
        <v>118</v>
      </c>
      <c r="D50" s="2"/>
      <c r="E50" s="43">
        <f>(E5-D5)/D5</f>
        <v>-7.9248171098707521E-2</v>
      </c>
      <c r="F50" s="43">
        <f>(F5-E5)/E5</f>
        <v>0.13509855788297562</v>
      </c>
      <c r="G50" s="43">
        <f>(G5-F5)/F5</f>
        <v>-5.9932186218080379E-2</v>
      </c>
      <c r="H50" s="44"/>
      <c r="I50" s="43">
        <f>(I5-H5)/H5</f>
        <v>-0.76267007827884858</v>
      </c>
      <c r="J50" s="37">
        <v>0</v>
      </c>
      <c r="K50" s="38"/>
      <c r="L50" s="37">
        <v>1</v>
      </c>
      <c r="M50" s="37">
        <v>1</v>
      </c>
      <c r="N50" s="37">
        <v>0.25</v>
      </c>
      <c r="P50" t="s">
        <v>131</v>
      </c>
    </row>
    <row r="51" spans="1:16" x14ac:dyDescent="0.25">
      <c r="B51" s="7"/>
      <c r="C51" s="4" t="s">
        <v>119</v>
      </c>
      <c r="D51" s="4"/>
      <c r="E51" s="45">
        <f>-E7/E6</f>
        <v>0.27389101481459105</v>
      </c>
      <c r="F51" s="45">
        <f t="shared" ref="F51:G51" si="19">-F7/F6</f>
        <v>0.2790956411008893</v>
      </c>
      <c r="G51" s="45">
        <f t="shared" si="19"/>
        <v>0.23815634726061083</v>
      </c>
      <c r="H51" s="45">
        <f t="shared" ref="H51:I51" si="20">-H7/H6</f>
        <v>0.24836722541313552</v>
      </c>
      <c r="I51" s="45">
        <f t="shared" si="20"/>
        <v>0.24377833567143545</v>
      </c>
      <c r="J51" s="40">
        <f>I51</f>
        <v>0.24377833567143545</v>
      </c>
      <c r="K51" s="39"/>
      <c r="L51" s="40">
        <f>AVERAGE($E$51:$G$51)</f>
        <v>0.2637143343920304</v>
      </c>
      <c r="M51" s="40">
        <f t="shared" ref="M51:N51" si="21">AVERAGE($E$51:$G$51)</f>
        <v>0.2637143343920304</v>
      </c>
      <c r="N51" s="42">
        <f t="shared" si="21"/>
        <v>0.2637143343920304</v>
      </c>
      <c r="P51" t="s">
        <v>130</v>
      </c>
    </row>
    <row r="52" spans="1:16" x14ac:dyDescent="0.25">
      <c r="B52" s="7"/>
      <c r="C52" s="4" t="s">
        <v>120</v>
      </c>
      <c r="D52" s="4"/>
      <c r="E52" s="45">
        <f>E9/E6</f>
        <v>8.845604767523188E-2</v>
      </c>
      <c r="F52" s="45">
        <f t="shared" ref="F52:G52" si="22">F9/F6</f>
        <v>8.1219684578965556E-2</v>
      </c>
      <c r="G52" s="45">
        <f t="shared" si="22"/>
        <v>9.5910549946877199E-2</v>
      </c>
      <c r="H52" s="45">
        <f t="shared" ref="H52:I52" si="23">H9/H6</f>
        <v>8.9673221969416919E-2</v>
      </c>
      <c r="I52" s="45">
        <f t="shared" si="23"/>
        <v>0.11878754429984589</v>
      </c>
      <c r="J52" s="40">
        <f t="shared" ref="J51:J57" si="24">I52</f>
        <v>0.11878754429984589</v>
      </c>
      <c r="K52" s="39"/>
      <c r="L52" s="40">
        <f>MAX(E52:G52)</f>
        <v>9.5910549946877199E-2</v>
      </c>
      <c r="M52" s="40">
        <f>AVERAGE(E52:G52)</f>
        <v>8.8528760733691536E-2</v>
      </c>
      <c r="N52" s="42">
        <f>MIN(E52:G52)</f>
        <v>8.1219684578965556E-2</v>
      </c>
      <c r="P52" t="s">
        <v>129</v>
      </c>
    </row>
    <row r="53" spans="1:16" x14ac:dyDescent="0.25">
      <c r="B53" s="7"/>
      <c r="C53" s="4" t="s">
        <v>121</v>
      </c>
      <c r="D53" s="4"/>
      <c r="E53" s="45">
        <f>-E24/E11</f>
        <v>0.45228868607074435</v>
      </c>
      <c r="F53" s="45">
        <f>-F24/F11</f>
        <v>0.46403013781644314</v>
      </c>
      <c r="G53" s="45">
        <f>-G24/G11</f>
        <v>0.43326447727217249</v>
      </c>
      <c r="H53" s="45">
        <f>-H24/H11</f>
        <v>0.44344643719165805</v>
      </c>
      <c r="I53" s="45">
        <f>-I24/I11</f>
        <v>0.37207530856955984</v>
      </c>
      <c r="J53" s="40">
        <f t="shared" si="24"/>
        <v>0.37207530856955984</v>
      </c>
      <c r="K53" s="39"/>
      <c r="L53" s="40">
        <f>AVERAGE($E$53:$G$53)</f>
        <v>0.44986110038645338</v>
      </c>
      <c r="M53" s="40">
        <f t="shared" ref="M53:N53" si="25">AVERAGE($E$53:$G$53)</f>
        <v>0.44986110038645338</v>
      </c>
      <c r="N53" s="42">
        <f t="shared" si="25"/>
        <v>0.44986110038645338</v>
      </c>
      <c r="P53" t="s">
        <v>130</v>
      </c>
    </row>
    <row r="54" spans="1:16" x14ac:dyDescent="0.25">
      <c r="B54" s="7"/>
      <c r="C54" s="4" t="s">
        <v>122</v>
      </c>
      <c r="D54" s="4"/>
      <c r="E54" s="45">
        <f>-E25/E11</f>
        <v>2.5937185275365975E-2</v>
      </c>
      <c r="F54" s="45">
        <f>-F25/F11</f>
        <v>2.1720511317140069E-2</v>
      </c>
      <c r="G54" s="45">
        <f>-G25/G11</f>
        <v>2.0943763024428099E-2</v>
      </c>
      <c r="H54" s="45">
        <f>-H25/H11</f>
        <v>1.8838824017463968E-2</v>
      </c>
      <c r="I54" s="45">
        <f>-I25/I11</f>
        <v>8.0498468100082515E-2</v>
      </c>
      <c r="J54" s="40">
        <f t="shared" si="24"/>
        <v>8.0498468100082515E-2</v>
      </c>
      <c r="K54" s="39"/>
      <c r="L54" s="41">
        <v>0.06</v>
      </c>
      <c r="M54" s="41">
        <v>0.04</v>
      </c>
      <c r="N54" s="42">
        <f>AVERAGE(E54:G54)</f>
        <v>2.2867153205644714E-2</v>
      </c>
      <c r="P54" t="s">
        <v>129</v>
      </c>
    </row>
    <row r="55" spans="1:16" x14ac:dyDescent="0.25">
      <c r="B55" s="7"/>
      <c r="C55" s="4" t="s">
        <v>123</v>
      </c>
      <c r="D55" s="4"/>
      <c r="E55" s="45">
        <f>-E27/E11</f>
        <v>0.15149220980654049</v>
      </c>
      <c r="F55" s="45">
        <f>-F27/F11</f>
        <v>0.14100008981921885</v>
      </c>
      <c r="G55" s="45">
        <f>-G27/G11</f>
        <v>0.15377315679469791</v>
      </c>
      <c r="H55" s="45">
        <f>-H27/H11</f>
        <v>0.15206717938741021</v>
      </c>
      <c r="I55" s="45">
        <f>-I27/I11</f>
        <v>0.59156615372995336</v>
      </c>
      <c r="J55" s="40">
        <f t="shared" si="24"/>
        <v>0.59156615372995336</v>
      </c>
      <c r="K55" s="39"/>
      <c r="L55" s="41">
        <v>0.45</v>
      </c>
      <c r="M55" s="41">
        <v>0.3</v>
      </c>
      <c r="N55" s="42">
        <f>MAX(E55:G55)</f>
        <v>0.15377315679469791</v>
      </c>
      <c r="P55" t="s">
        <v>129</v>
      </c>
    </row>
    <row r="56" spans="1:16" x14ac:dyDescent="0.25">
      <c r="B56" s="7"/>
      <c r="C56" s="4" t="s">
        <v>124</v>
      </c>
      <c r="D56" s="4"/>
      <c r="E56" s="45">
        <f>-E28/E11</f>
        <v>9.891668422089904E-2</v>
      </c>
      <c r="F56" s="45">
        <f>-F28/F11</f>
        <v>9.1880424121316182E-2</v>
      </c>
      <c r="G56" s="45">
        <f>-G28/G11</f>
        <v>9.8690896077570506E-2</v>
      </c>
      <c r="H56" s="45">
        <f>-H28/H11</f>
        <v>9.2427188939090341E-2</v>
      </c>
      <c r="I56" s="45">
        <f>-I28/I11</f>
        <v>0.21992024317555259</v>
      </c>
      <c r="J56" s="40">
        <f>I56</f>
        <v>0.21992024317555259</v>
      </c>
      <c r="K56" s="39"/>
      <c r="L56" s="41">
        <v>0.18</v>
      </c>
      <c r="M56" s="41">
        <v>0.14000000000000001</v>
      </c>
      <c r="N56" s="47">
        <v>0.1</v>
      </c>
      <c r="P56" t="s">
        <v>129</v>
      </c>
    </row>
    <row r="57" spans="1:16" x14ac:dyDescent="0.25">
      <c r="A57" t="s">
        <v>125</v>
      </c>
      <c r="B57" s="30"/>
      <c r="C57" s="31" t="s">
        <v>126</v>
      </c>
      <c r="D57" s="31"/>
      <c r="E57" s="46">
        <f>-E36/E11</f>
        <v>2.3185772654797389E-3</v>
      </c>
      <c r="F57" s="46">
        <f>-F36/F11</f>
        <v>7.8761619919950226E-4</v>
      </c>
      <c r="G57" s="46">
        <f>-G36/G35</f>
        <v>1.1740900715374095E-2</v>
      </c>
      <c r="H57" s="46">
        <f>-H36/H11</f>
        <v>2.7204210184103256E-3</v>
      </c>
      <c r="I57" s="46">
        <f>-I36/I11</f>
        <v>1.1533482840551435E-2</v>
      </c>
      <c r="J57" s="48">
        <f t="shared" si="24"/>
        <v>1.1533482840551435E-2</v>
      </c>
      <c r="K57" s="48">
        <f>MAX(E57:G57)</f>
        <v>1.1740900715374095E-2</v>
      </c>
      <c r="L57" s="48">
        <f>MAX(E57:G57)</f>
        <v>1.1740900715374095E-2</v>
      </c>
      <c r="M57" s="48">
        <f>AVERAGE(E57:G57)</f>
        <v>4.9490313933511125E-3</v>
      </c>
      <c r="N57" s="49">
        <f>AVERAGE(E57:G57)</f>
        <v>4.9490313933511125E-3</v>
      </c>
      <c r="P57" t="s">
        <v>130</v>
      </c>
    </row>
    <row r="58" spans="1:16" x14ac:dyDescent="0.25">
      <c r="C58" s="4"/>
      <c r="E58" s="25"/>
      <c r="F58" s="25"/>
      <c r="G58" s="25"/>
      <c r="H58" s="25"/>
      <c r="I58" s="25"/>
    </row>
    <row r="59" spans="1:16" x14ac:dyDescent="0.25">
      <c r="C59" s="4"/>
    </row>
  </sheetData>
  <mergeCells count="2">
    <mergeCell ref="E2:G2"/>
    <mergeCell ref="J2:N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62"/>
  <sheetViews>
    <sheetView zoomScale="85" zoomScaleNormal="85" workbookViewId="0">
      <selection activeCell="B2" sqref="B2"/>
    </sheetView>
  </sheetViews>
  <sheetFormatPr defaultRowHeight="15" x14ac:dyDescent="0.25"/>
  <cols>
    <col min="2" max="2" width="3.28515625" customWidth="1"/>
    <col min="3" max="3" width="2.5703125" customWidth="1"/>
    <col min="4" max="4" width="61.140625" customWidth="1"/>
    <col min="6" max="7" width="12" bestFit="1" customWidth="1"/>
    <col min="8" max="8" width="12.42578125" bestFit="1" customWidth="1"/>
    <col min="9" max="9" width="12.42578125" customWidth="1"/>
    <col min="10" max="10" width="12.42578125" bestFit="1" customWidth="1"/>
    <col min="11" max="11" width="13.42578125" bestFit="1" customWidth="1"/>
    <col min="12" max="12" width="12.140625" bestFit="1" customWidth="1"/>
    <col min="13" max="13" width="12.85546875" bestFit="1" customWidth="1"/>
    <col min="14" max="14" width="12.140625" bestFit="1" customWidth="1"/>
  </cols>
  <sheetData>
    <row r="2" spans="2:16" x14ac:dyDescent="0.25">
      <c r="B2" s="1"/>
      <c r="C2" s="2"/>
      <c r="D2" s="2"/>
      <c r="E2" s="2"/>
      <c r="F2" s="240" t="s">
        <v>1</v>
      </c>
      <c r="G2" s="240"/>
      <c r="H2" s="240"/>
      <c r="I2" s="156"/>
      <c r="J2" s="241" t="s">
        <v>2</v>
      </c>
      <c r="K2" s="241"/>
      <c r="L2" s="241"/>
      <c r="M2" s="241"/>
      <c r="N2" s="242"/>
    </row>
    <row r="3" spans="2:16" ht="15.75" thickBot="1" x14ac:dyDescent="0.3">
      <c r="B3" s="3" t="s">
        <v>3</v>
      </c>
      <c r="C3" s="14"/>
      <c r="D3" s="14"/>
      <c r="E3" s="14"/>
      <c r="F3" s="5" t="s">
        <v>4</v>
      </c>
      <c r="G3" s="5" t="s">
        <v>5</v>
      </c>
      <c r="H3" s="5" t="s">
        <v>11</v>
      </c>
      <c r="I3" s="5" t="s">
        <v>113</v>
      </c>
      <c r="J3" s="5" t="s">
        <v>116</v>
      </c>
      <c r="K3" s="5" t="s">
        <v>6</v>
      </c>
      <c r="L3" s="5" t="s">
        <v>7</v>
      </c>
      <c r="M3" s="5" t="s">
        <v>8</v>
      </c>
      <c r="N3" s="6" t="s">
        <v>10</v>
      </c>
    </row>
    <row r="4" spans="2:16" x14ac:dyDescent="0.25">
      <c r="B4" s="7"/>
      <c r="C4" s="4"/>
      <c r="D4" s="4"/>
      <c r="E4" s="4" t="s">
        <v>9</v>
      </c>
      <c r="F4" s="4"/>
      <c r="G4" s="4"/>
      <c r="H4" s="4"/>
      <c r="I4" s="4"/>
      <c r="J4" s="4"/>
      <c r="K4" s="4"/>
      <c r="L4" s="4"/>
      <c r="M4" s="4"/>
      <c r="N4" s="8"/>
    </row>
    <row r="5" spans="2:16" x14ac:dyDescent="0.25">
      <c r="B5" s="7" t="s">
        <v>77</v>
      </c>
      <c r="C5" s="4"/>
      <c r="D5" s="4"/>
      <c r="E5" s="4"/>
      <c r="F5" s="22"/>
      <c r="G5" s="22"/>
      <c r="H5" s="22"/>
      <c r="I5" s="22"/>
      <c r="J5" s="22"/>
      <c r="K5" s="10"/>
      <c r="L5" s="10"/>
      <c r="M5" s="10"/>
      <c r="N5" s="11"/>
    </row>
    <row r="6" spans="2:16" x14ac:dyDescent="0.25">
      <c r="B6" s="7"/>
      <c r="C6" s="4" t="s">
        <v>41</v>
      </c>
      <c r="D6" s="4"/>
      <c r="E6" s="4"/>
      <c r="F6" s="9">
        <v>31801690</v>
      </c>
      <c r="G6" s="9">
        <v>31359096</v>
      </c>
      <c r="H6" s="9">
        <v>32736635</v>
      </c>
      <c r="I6" s="9">
        <v>33628821</v>
      </c>
      <c r="J6" s="146">
        <f>K6-H6</f>
        <v>804994</v>
      </c>
      <c r="K6" s="61">
        <f>H6+'Cash Flow Statement'!J9-'Cash Flow Statement'!J33-'Cash Flow Statement'!J36</f>
        <v>33541629</v>
      </c>
      <c r="L6" s="61">
        <f>K6+'Cash Flow Statement'!K9-'Cash Flow Statement'!K33-'Cash Flow Statement'!K36</f>
        <v>34043200.552832298</v>
      </c>
      <c r="M6" s="61">
        <f>L6+'Cash Flow Statement'!L9-'Cash Flow Statement'!L33-'Cash Flow Statement'!L36</f>
        <v>34553842.746980429</v>
      </c>
      <c r="N6" s="86">
        <f>M6+'Cash Flow Statement'!M9-'Cash Flow Statement'!M33-'Cash Flow Statement'!M36</f>
        <v>35012306.121397749</v>
      </c>
    </row>
    <row r="7" spans="2:16" x14ac:dyDescent="0.25">
      <c r="B7" s="7"/>
      <c r="C7" s="4" t="s">
        <v>42</v>
      </c>
      <c r="D7" s="4"/>
      <c r="E7" s="4"/>
      <c r="F7" s="9">
        <v>0</v>
      </c>
      <c r="G7" s="9">
        <v>0</v>
      </c>
      <c r="H7" s="9">
        <v>4950013</v>
      </c>
      <c r="I7" s="9">
        <v>4880397</v>
      </c>
      <c r="J7" s="146"/>
      <c r="K7" s="10">
        <f>H7</f>
        <v>4950013</v>
      </c>
      <c r="L7" s="10">
        <f>K7</f>
        <v>4950013</v>
      </c>
      <c r="M7" s="10">
        <f t="shared" ref="M7:N7" si="0">L7</f>
        <v>4950013</v>
      </c>
      <c r="N7" s="11">
        <f t="shared" si="0"/>
        <v>4950013</v>
      </c>
      <c r="P7" t="s">
        <v>254</v>
      </c>
    </row>
    <row r="8" spans="2:16" x14ac:dyDescent="0.25">
      <c r="B8" s="7"/>
      <c r="C8" s="4" t="s">
        <v>43</v>
      </c>
      <c r="D8" s="4"/>
      <c r="E8" s="4"/>
      <c r="F8" s="9">
        <v>5013464</v>
      </c>
      <c r="G8" s="9">
        <v>4921285</v>
      </c>
      <c r="H8" s="9">
        <v>0</v>
      </c>
      <c r="I8" s="9">
        <v>0</v>
      </c>
      <c r="J8" s="59"/>
      <c r="K8" s="161">
        <f>H8-'Cash Flow Statement'!J34</f>
        <v>0</v>
      </c>
      <c r="L8" s="161">
        <f>K8-'Cash Flow Statement'!K34</f>
        <v>0</v>
      </c>
      <c r="M8" s="161">
        <f>L8-'Cash Flow Statement'!L34</f>
        <v>0</v>
      </c>
      <c r="N8" s="162">
        <f>M8-'Cash Flow Statement'!M34</f>
        <v>0</v>
      </c>
    </row>
    <row r="9" spans="2:16" x14ac:dyDescent="0.25">
      <c r="B9" s="7"/>
      <c r="C9" s="21" t="s">
        <v>44</v>
      </c>
      <c r="D9" s="21"/>
      <c r="E9" s="4"/>
      <c r="F9" s="9">
        <v>921019</v>
      </c>
      <c r="G9" s="9">
        <v>722371</v>
      </c>
      <c r="H9" s="9">
        <v>554524</v>
      </c>
      <c r="I9" s="9">
        <v>461903</v>
      </c>
      <c r="J9" s="146"/>
      <c r="K9" s="61">
        <f>H9-'Cash Flow Statement'!J35</f>
        <v>554524</v>
      </c>
      <c r="L9" s="61">
        <f>K9-'Cash Flow Statement'!K35</f>
        <v>554524</v>
      </c>
      <c r="M9" s="61">
        <f>L9-'Cash Flow Statement'!L35</f>
        <v>554524</v>
      </c>
      <c r="N9" s="86">
        <f>M9-'Cash Flow Statement'!M35</f>
        <v>554524</v>
      </c>
    </row>
    <row r="10" spans="2:16" x14ac:dyDescent="0.25">
      <c r="B10" s="7"/>
      <c r="C10" s="21" t="s">
        <v>25</v>
      </c>
      <c r="D10" s="21"/>
      <c r="E10" s="4"/>
      <c r="F10" s="9">
        <v>1518367</v>
      </c>
      <c r="G10" s="9">
        <v>1630959</v>
      </c>
      <c r="H10" s="9">
        <v>1836036</v>
      </c>
      <c r="I10" s="9">
        <v>1733426</v>
      </c>
      <c r="J10" s="146"/>
      <c r="K10" s="10">
        <f>H10</f>
        <v>1836036</v>
      </c>
      <c r="L10" s="10">
        <f>K10</f>
        <v>1836036</v>
      </c>
      <c r="M10" s="10">
        <f t="shared" ref="M10:N10" si="1">L10</f>
        <v>1836036</v>
      </c>
      <c r="N10" s="11">
        <f t="shared" si="1"/>
        <v>1836036</v>
      </c>
      <c r="P10" t="s">
        <v>254</v>
      </c>
    </row>
    <row r="11" spans="2:16" x14ac:dyDescent="0.25">
      <c r="B11" s="7"/>
      <c r="C11" s="21" t="s">
        <v>26</v>
      </c>
      <c r="D11" s="21"/>
      <c r="E11" s="4"/>
      <c r="F11" s="9">
        <v>2217</v>
      </c>
      <c r="G11" s="9">
        <v>2252</v>
      </c>
      <c r="H11" s="9">
        <v>2238</v>
      </c>
      <c r="I11" s="9">
        <v>2315</v>
      </c>
      <c r="J11" s="59"/>
      <c r="K11" s="10">
        <f>H11</f>
        <v>2238</v>
      </c>
      <c r="L11" s="10">
        <f>K11</f>
        <v>2238</v>
      </c>
      <c r="M11" s="10">
        <f t="shared" ref="M11:N11" si="2">L11</f>
        <v>2238</v>
      </c>
      <c r="N11" s="11">
        <f t="shared" si="2"/>
        <v>2238</v>
      </c>
      <c r="P11" t="s">
        <v>254</v>
      </c>
    </row>
    <row r="12" spans="2:16" x14ac:dyDescent="0.25">
      <c r="B12" s="7"/>
      <c r="C12" s="4" t="s">
        <v>45</v>
      </c>
      <c r="D12" s="4"/>
      <c r="E12" s="4"/>
      <c r="F12" s="9">
        <v>23688142</v>
      </c>
      <c r="G12" s="9">
        <v>25778612</v>
      </c>
      <c r="H12" s="9">
        <v>25164997</v>
      </c>
      <c r="I12" s="9">
        <v>22772768</v>
      </c>
      <c r="J12" s="146"/>
      <c r="K12" s="61">
        <f>H12-'Cash Flow Statement'!J41-'Cash Flow Statement'!J42</f>
        <v>25164997</v>
      </c>
      <c r="L12" s="61">
        <f>K12-'Cash Flow Statement'!K41-'Cash Flow Statement'!K42</f>
        <v>25164997</v>
      </c>
      <c r="M12" s="61">
        <f>L12-'Cash Flow Statement'!L41-'Cash Flow Statement'!L42</f>
        <v>25164997</v>
      </c>
      <c r="N12" s="61">
        <f>M12-'Cash Flow Statement'!M41-'Cash Flow Statement'!M42</f>
        <v>25164997</v>
      </c>
    </row>
    <row r="13" spans="2:16" x14ac:dyDescent="0.25">
      <c r="B13" s="7"/>
      <c r="C13" s="4" t="s">
        <v>46</v>
      </c>
      <c r="D13" s="4"/>
      <c r="E13" s="4"/>
      <c r="F13" s="9">
        <v>643189</v>
      </c>
      <c r="G13" s="9">
        <v>4530411</v>
      </c>
      <c r="H13" s="9">
        <v>6262099</v>
      </c>
      <c r="I13" s="9">
        <v>3578332</v>
      </c>
      <c r="J13" s="146"/>
      <c r="K13" s="10">
        <f>H13</f>
        <v>6262099</v>
      </c>
      <c r="L13" s="10">
        <f>K13</f>
        <v>6262099</v>
      </c>
      <c r="M13" s="10">
        <f t="shared" ref="M13:N13" si="3">L13</f>
        <v>6262099</v>
      </c>
      <c r="N13" s="11">
        <f t="shared" si="3"/>
        <v>6262099</v>
      </c>
      <c r="P13" t="s">
        <v>250</v>
      </c>
    </row>
    <row r="14" spans="2:16" x14ac:dyDescent="0.25">
      <c r="B14" s="7"/>
      <c r="C14" s="21" t="s">
        <v>47</v>
      </c>
      <c r="D14" s="21"/>
      <c r="E14" s="4"/>
      <c r="F14" s="9">
        <v>0</v>
      </c>
      <c r="G14" s="9">
        <v>0</v>
      </c>
      <c r="H14" s="9">
        <v>4470886</v>
      </c>
      <c r="I14" s="9">
        <v>4448931</v>
      </c>
      <c r="J14" s="146"/>
      <c r="K14" s="26">
        <f>H14</f>
        <v>4470886</v>
      </c>
      <c r="L14" s="26">
        <f>K14</f>
        <v>4470886</v>
      </c>
      <c r="M14" s="26">
        <f t="shared" ref="M14:N14" si="4">L14</f>
        <v>4470886</v>
      </c>
      <c r="N14" s="53">
        <f t="shared" si="4"/>
        <v>4470886</v>
      </c>
      <c r="P14" t="s">
        <v>254</v>
      </c>
    </row>
    <row r="15" spans="2:16" x14ac:dyDescent="0.25">
      <c r="B15" s="7"/>
      <c r="C15" s="21" t="s">
        <v>48</v>
      </c>
      <c r="D15" s="21"/>
      <c r="E15" s="4"/>
      <c r="F15" s="9">
        <v>125183</v>
      </c>
      <c r="G15" s="9">
        <v>125809</v>
      </c>
      <c r="H15" s="9">
        <v>202293</v>
      </c>
      <c r="I15" s="9">
        <v>275304</v>
      </c>
      <c r="J15" s="146"/>
      <c r="K15" s="61">
        <f>H15+'Cash Flow Statement'!J38</f>
        <v>202293</v>
      </c>
      <c r="L15" s="61">
        <f>K15+'Cash Flow Statement'!K38</f>
        <v>202293</v>
      </c>
      <c r="M15" s="61">
        <f>L15+'Cash Flow Statement'!L38</f>
        <v>202293</v>
      </c>
      <c r="N15" s="86">
        <f>M15+'Cash Flow Statement'!M38</f>
        <v>202293</v>
      </c>
    </row>
    <row r="16" spans="2:16" x14ac:dyDescent="0.25">
      <c r="B16" s="7"/>
      <c r="C16" s="21" t="s">
        <v>76</v>
      </c>
      <c r="D16" s="21"/>
      <c r="E16" s="4"/>
      <c r="F16" s="22">
        <f>SUM(F6:F15)</f>
        <v>63713271</v>
      </c>
      <c r="G16" s="22">
        <f>SUM(G6:G15)</f>
        <v>69070795</v>
      </c>
      <c r="H16" s="22">
        <f>SUM(H6:H15)</f>
        <v>76179721</v>
      </c>
      <c r="I16" s="22">
        <f>SUM(I6:I15)</f>
        <v>71782197</v>
      </c>
      <c r="J16" s="146"/>
      <c r="K16" s="22">
        <f>SUM(K6:K15)</f>
        <v>76984715</v>
      </c>
      <c r="L16" s="22">
        <f>SUM(L6:L15)</f>
        <v>77486286.552832305</v>
      </c>
      <c r="M16" s="22">
        <f t="shared" ref="M16:N16" si="5">SUM(M6:M15)</f>
        <v>77996928.746980429</v>
      </c>
      <c r="N16" s="51">
        <f t="shared" si="5"/>
        <v>78455392.121397749</v>
      </c>
    </row>
    <row r="17" spans="2:16" x14ac:dyDescent="0.25">
      <c r="B17" s="7"/>
      <c r="C17" s="4"/>
      <c r="D17" s="4"/>
      <c r="E17" s="4"/>
      <c r="F17" s="9"/>
      <c r="G17" s="9"/>
      <c r="H17" s="9"/>
      <c r="I17" s="9"/>
      <c r="J17" s="146"/>
      <c r="K17" s="4"/>
      <c r="L17" s="4"/>
      <c r="M17" s="4"/>
      <c r="N17" s="8"/>
    </row>
    <row r="18" spans="2:16" x14ac:dyDescent="0.25">
      <c r="B18" s="7" t="s">
        <v>49</v>
      </c>
      <c r="C18" s="4"/>
      <c r="D18" s="4"/>
      <c r="E18" s="4"/>
      <c r="F18" s="9"/>
      <c r="G18" s="9"/>
      <c r="H18" s="9"/>
      <c r="I18" s="9"/>
      <c r="J18" s="146"/>
      <c r="K18" s="4"/>
      <c r="L18" s="4"/>
      <c r="M18" s="4"/>
      <c r="N18" s="8"/>
    </row>
    <row r="19" spans="2:16" x14ac:dyDescent="0.25">
      <c r="B19" s="7"/>
      <c r="C19" s="4" t="s">
        <v>50</v>
      </c>
      <c r="D19" s="4"/>
      <c r="E19" s="4"/>
      <c r="F19" s="27">
        <v>171443</v>
      </c>
      <c r="G19" s="9">
        <v>189799</v>
      </c>
      <c r="H19" s="9">
        <v>177834</v>
      </c>
      <c r="I19" s="9">
        <v>190837</v>
      </c>
      <c r="J19" s="146"/>
      <c r="K19" s="58">
        <f>H19-'Cash Flow Statement'!J20</f>
        <v>184335.50000000003</v>
      </c>
      <c r="L19" s="58">
        <f>K19-'Cash Flow Statement'!K20</f>
        <v>220740.31376057668</v>
      </c>
      <c r="M19" s="58">
        <f>L19-'Cash Flow Statement'!L20</f>
        <v>282015.60324945737</v>
      </c>
      <c r="N19" s="82">
        <f>M19-'Cash Flow Statement'!M20</f>
        <v>198728.9316463198</v>
      </c>
    </row>
    <row r="20" spans="2:16" x14ac:dyDescent="0.25">
      <c r="B20" s="20"/>
      <c r="C20" s="21" t="s">
        <v>51</v>
      </c>
      <c r="D20" s="21"/>
      <c r="E20" s="4"/>
      <c r="F20" s="9">
        <v>1961509</v>
      </c>
      <c r="G20" s="9">
        <v>1860409</v>
      </c>
      <c r="H20" s="9">
        <v>2145046</v>
      </c>
      <c r="I20" s="9">
        <v>1882862</v>
      </c>
      <c r="J20" s="146"/>
      <c r="K20" s="58">
        <f>H20-'Cash Flow Statement'!J21</f>
        <v>2013953.9999999998</v>
      </c>
      <c r="L20" s="58">
        <f>K20-'Cash Flow Statement'!K21</f>
        <v>2304735.0498218732</v>
      </c>
      <c r="M20" s="58">
        <f>L20-'Cash Flow Statement'!L21</f>
        <v>3091532.4613642893</v>
      </c>
      <c r="N20" s="82">
        <f>M20-'Cash Flow Statement'!M21</f>
        <v>2263672.5327373892</v>
      </c>
    </row>
    <row r="21" spans="2:16" x14ac:dyDescent="0.25">
      <c r="B21" s="20"/>
      <c r="C21" s="21" t="s">
        <v>52</v>
      </c>
      <c r="D21" s="21"/>
      <c r="E21" s="4"/>
      <c r="F21" s="9">
        <v>204642</v>
      </c>
      <c r="G21" s="9">
        <v>178727</v>
      </c>
      <c r="H21" s="9">
        <v>161946</v>
      </c>
      <c r="I21" s="9">
        <v>156204</v>
      </c>
      <c r="J21" s="142"/>
      <c r="K21" s="58">
        <f>H21+'Cash Flow Statement'!J24</f>
        <v>161946</v>
      </c>
      <c r="L21" s="58">
        <f>K21+'Cash Flow Statement'!K24</f>
        <v>161946</v>
      </c>
      <c r="M21" s="58">
        <f>L21+'Cash Flow Statement'!L24</f>
        <v>161946</v>
      </c>
      <c r="N21" s="82">
        <f>M21+'Cash Flow Statement'!M24</f>
        <v>161946</v>
      </c>
    </row>
    <row r="22" spans="2:16" x14ac:dyDescent="0.25">
      <c r="B22" s="7"/>
      <c r="C22" s="21" t="s">
        <v>53</v>
      </c>
      <c r="D22" s="21"/>
      <c r="E22" s="4"/>
      <c r="F22" s="9">
        <v>23456</v>
      </c>
      <c r="G22" s="9">
        <v>35373</v>
      </c>
      <c r="H22" s="9">
        <v>40093</v>
      </c>
      <c r="I22" s="9">
        <v>33641</v>
      </c>
      <c r="J22" s="142"/>
      <c r="K22" s="58">
        <f>H22-'Cash Flow Statement'!J37</f>
        <v>40093</v>
      </c>
      <c r="L22" s="58">
        <f>K22-'Cash Flow Statement'!K37</f>
        <v>40093</v>
      </c>
      <c r="M22" s="58">
        <f>L22-'Cash Flow Statement'!L37</f>
        <v>40093</v>
      </c>
      <c r="N22" s="82">
        <f>M22-'Cash Flow Statement'!M37</f>
        <v>40093</v>
      </c>
    </row>
    <row r="23" spans="2:16" x14ac:dyDescent="0.25">
      <c r="B23" s="7"/>
      <c r="C23" s="21" t="s">
        <v>54</v>
      </c>
      <c r="D23" s="21"/>
      <c r="E23" s="4"/>
      <c r="F23" s="9">
        <v>140012</v>
      </c>
      <c r="G23" s="9">
        <v>1543905</v>
      </c>
      <c r="H23" s="9">
        <v>2345444</v>
      </c>
      <c r="I23" s="9">
        <v>2625601</v>
      </c>
      <c r="J23" s="146"/>
      <c r="K23" s="26">
        <f>H23</f>
        <v>2345444</v>
      </c>
      <c r="L23" s="10">
        <f>K23</f>
        <v>2345444</v>
      </c>
      <c r="M23" s="10">
        <f t="shared" ref="M23:N23" si="6">L23</f>
        <v>2345444</v>
      </c>
      <c r="N23" s="11">
        <f t="shared" si="6"/>
        <v>2345444</v>
      </c>
    </row>
    <row r="24" spans="2:16" x14ac:dyDescent="0.25">
      <c r="B24" s="7"/>
      <c r="C24" s="21" t="s">
        <v>55</v>
      </c>
      <c r="D24" s="21"/>
      <c r="E24" s="4"/>
      <c r="F24" s="22">
        <f>SUM(F25:F27)</f>
        <v>17600349</v>
      </c>
      <c r="G24" s="22">
        <f>SUM(G25:G27)</f>
        <v>14504823</v>
      </c>
      <c r="H24" s="22">
        <f>SUM(H25:H27)</f>
        <v>14646088</v>
      </c>
      <c r="I24" s="9">
        <v>16988524</v>
      </c>
      <c r="J24" s="146"/>
      <c r="K24" s="26">
        <f ca="1">SUM(K25:K27)</f>
        <v>14940680.230735937</v>
      </c>
      <c r="L24" s="26">
        <f t="shared" ref="L24:M24" ca="1" si="7">SUM(L25:L27)</f>
        <v>11001538.951589011</v>
      </c>
      <c r="M24" s="26">
        <f t="shared" ca="1" si="7"/>
        <v>12024718.292657536</v>
      </c>
      <c r="N24" s="53">
        <f ca="1">SUM(N25:N27)</f>
        <v>9908638.3416906744</v>
      </c>
      <c r="P24" s="23"/>
    </row>
    <row r="25" spans="2:16" x14ac:dyDescent="0.25">
      <c r="B25" s="7"/>
      <c r="C25" s="4"/>
      <c r="D25" s="21" t="s">
        <v>227</v>
      </c>
      <c r="E25" s="4"/>
      <c r="F25" s="9">
        <v>15702430</v>
      </c>
      <c r="G25" s="9">
        <v>13778102</v>
      </c>
      <c r="H25" s="9">
        <v>6248151</v>
      </c>
      <c r="I25" s="146"/>
      <c r="J25" s="146"/>
      <c r="K25" s="119">
        <f ca="1">'Cash Flow Statement'!J64</f>
        <v>6542743.2307359371</v>
      </c>
      <c r="L25" s="119">
        <f ca="1">'Cash Flow Statement'!K64</f>
        <v>2603601.9515890111</v>
      </c>
      <c r="M25" s="119">
        <f ca="1">'Cash Flow Statement'!L64</f>
        <v>3626781.2926575351</v>
      </c>
      <c r="N25" s="139">
        <f ca="1">'Cash Flow Statement'!M64</f>
        <v>1510701.3416906754</v>
      </c>
      <c r="P25" s="128" t="s">
        <v>244</v>
      </c>
    </row>
    <row r="26" spans="2:16" x14ac:dyDescent="0.25">
      <c r="B26" s="7"/>
      <c r="C26" s="21"/>
      <c r="D26" s="21" t="s">
        <v>228</v>
      </c>
      <c r="E26" s="4"/>
      <c r="F26" s="9">
        <v>711822</v>
      </c>
      <c r="G26" s="9">
        <v>726721</v>
      </c>
      <c r="H26" s="9">
        <v>429689</v>
      </c>
      <c r="I26" s="146"/>
      <c r="J26" s="146"/>
      <c r="K26" s="67">
        <f>H26</f>
        <v>429689</v>
      </c>
      <c r="L26" s="67">
        <f>K26</f>
        <v>429689</v>
      </c>
      <c r="M26" s="67">
        <f t="shared" ref="M26:N26" si="8">L26</f>
        <v>429689</v>
      </c>
      <c r="N26" s="107">
        <f t="shared" si="8"/>
        <v>429689</v>
      </c>
      <c r="P26" t="s">
        <v>253</v>
      </c>
    </row>
    <row r="27" spans="2:16" x14ac:dyDescent="0.25">
      <c r="B27" s="7"/>
      <c r="C27" s="21"/>
      <c r="D27" s="21" t="s">
        <v>229</v>
      </c>
      <c r="E27" s="4"/>
      <c r="F27" s="9">
        <v>1186097</v>
      </c>
      <c r="G27" s="9">
        <v>0</v>
      </c>
      <c r="H27" s="9">
        <v>7968248</v>
      </c>
      <c r="I27" s="146"/>
      <c r="J27" s="146"/>
      <c r="K27" s="26">
        <f>H27-'Cash Flow Statement'!J44</f>
        <v>7968248</v>
      </c>
      <c r="L27" s="26">
        <f>K27-'Cash Flow Statement'!K44</f>
        <v>7968248</v>
      </c>
      <c r="M27" s="26">
        <f>L27-'Cash Flow Statement'!L44</f>
        <v>7968248</v>
      </c>
      <c r="N27" s="26">
        <f>M27-'Cash Flow Statement'!M44</f>
        <v>7968248</v>
      </c>
    </row>
    <row r="28" spans="2:16" x14ac:dyDescent="0.25">
      <c r="B28" s="7"/>
      <c r="C28" s="21" t="s">
        <v>73</v>
      </c>
      <c r="D28" s="21"/>
      <c r="E28" s="4"/>
      <c r="F28" s="22">
        <f>SUM(F19:F24)</f>
        <v>20101411</v>
      </c>
      <c r="G28" s="22">
        <f>SUM(G19:G24)</f>
        <v>18313036</v>
      </c>
      <c r="H28" s="22">
        <f>SUM(H19:H24)</f>
        <v>19516451</v>
      </c>
      <c r="I28" s="22">
        <f>SUM(I19:I24)</f>
        <v>21877669</v>
      </c>
      <c r="J28" s="142"/>
      <c r="K28" s="22">
        <f ca="1">SUM(K19:K24)</f>
        <v>19686452.730735935</v>
      </c>
      <c r="L28" s="22">
        <f t="shared" ref="L28:N28" ca="1" si="9">SUM(L19:L24)</f>
        <v>16074497.315171462</v>
      </c>
      <c r="M28" s="22">
        <f t="shared" ca="1" si="9"/>
        <v>17945749.357271284</v>
      </c>
      <c r="N28" s="51">
        <f t="shared" ca="1" si="9"/>
        <v>14918522.806074385</v>
      </c>
    </row>
    <row r="29" spans="2:16" x14ac:dyDescent="0.25">
      <c r="B29" s="7"/>
      <c r="C29" s="4"/>
      <c r="D29" s="4"/>
      <c r="E29" s="4"/>
      <c r="F29" s="28"/>
      <c r="G29" s="9"/>
      <c r="H29" s="9"/>
      <c r="I29" s="9"/>
      <c r="J29" s="134"/>
      <c r="K29" s="4"/>
      <c r="L29" s="4"/>
      <c r="M29" s="4"/>
      <c r="N29" s="8"/>
    </row>
    <row r="30" spans="2:16" x14ac:dyDescent="0.25">
      <c r="B30" s="7" t="s">
        <v>56</v>
      </c>
      <c r="C30" s="4"/>
      <c r="D30" s="4"/>
      <c r="E30" s="4"/>
      <c r="F30" s="4"/>
      <c r="G30" s="4"/>
      <c r="H30" s="4"/>
      <c r="I30" s="4"/>
      <c r="J30" s="146"/>
      <c r="K30" s="4"/>
      <c r="L30" s="4"/>
      <c r="M30" s="4"/>
      <c r="N30" s="8"/>
    </row>
    <row r="31" spans="2:16" x14ac:dyDescent="0.25">
      <c r="B31" s="7"/>
      <c r="C31" s="4" t="s">
        <v>57</v>
      </c>
      <c r="D31" s="4"/>
      <c r="E31" s="4"/>
      <c r="F31" s="9">
        <v>259392</v>
      </c>
      <c r="G31" s="9">
        <v>251392</v>
      </c>
      <c r="H31" s="9">
        <v>8931</v>
      </c>
      <c r="I31" s="9">
        <v>0</v>
      </c>
      <c r="J31" s="134"/>
      <c r="K31" s="90">
        <f>H31</f>
        <v>8931</v>
      </c>
      <c r="L31" s="90">
        <f>K31</f>
        <v>8931</v>
      </c>
      <c r="M31" s="90">
        <f t="shared" ref="M31:N31" si="10">L31</f>
        <v>8931</v>
      </c>
      <c r="N31" s="90">
        <f t="shared" si="10"/>
        <v>8931</v>
      </c>
    </row>
    <row r="32" spans="2:16" x14ac:dyDescent="0.25">
      <c r="B32" s="7"/>
      <c r="C32" s="4" t="s">
        <v>58</v>
      </c>
      <c r="D32" s="4"/>
      <c r="E32" s="4"/>
      <c r="F32" s="9">
        <v>268120</v>
      </c>
      <c r="G32" s="9">
        <v>194695</v>
      </c>
      <c r="H32" s="9">
        <v>201218</v>
      </c>
      <c r="I32" s="9">
        <v>203542</v>
      </c>
      <c r="J32" s="142"/>
      <c r="K32" s="26">
        <f>H32+'Cash Flow Statement'!J39</f>
        <v>201218</v>
      </c>
      <c r="L32" s="26">
        <f>K32+'Cash Flow Statement'!K39</f>
        <v>201218</v>
      </c>
      <c r="M32" s="26">
        <f>L32+'Cash Flow Statement'!L39</f>
        <v>201218</v>
      </c>
      <c r="N32" s="53">
        <f>M32+'Cash Flow Statement'!M39</f>
        <v>201218</v>
      </c>
    </row>
    <row r="33" spans="2:16" x14ac:dyDescent="0.25">
      <c r="B33" s="7"/>
      <c r="C33" s="4" t="s">
        <v>59</v>
      </c>
      <c r="D33" s="4"/>
      <c r="E33" s="4"/>
      <c r="F33" s="9">
        <v>0</v>
      </c>
      <c r="G33" s="9">
        <v>0</v>
      </c>
      <c r="H33" s="9">
        <v>310647</v>
      </c>
      <c r="I33" s="9">
        <v>295547</v>
      </c>
      <c r="J33" s="142"/>
      <c r="K33" s="26">
        <f>H33-'Cash Flow Statement'!J40+'Cash Flow Statement'!J55</f>
        <v>310647</v>
      </c>
      <c r="L33" s="26">
        <f>K33-'Cash Flow Statement'!K40+'Cash Flow Statement'!K55</f>
        <v>310647</v>
      </c>
      <c r="M33" s="26">
        <f>L33-'Cash Flow Statement'!L40+'Cash Flow Statement'!L55</f>
        <v>310647</v>
      </c>
      <c r="N33" s="53">
        <f>M33-'Cash Flow Statement'!M40+'Cash Flow Statement'!M55</f>
        <v>310647</v>
      </c>
    </row>
    <row r="34" spans="2:16" x14ac:dyDescent="0.25">
      <c r="B34" s="7"/>
      <c r="C34" s="4" t="s">
        <v>60</v>
      </c>
      <c r="D34" s="4"/>
      <c r="E34" s="4"/>
      <c r="F34" s="9">
        <v>14816</v>
      </c>
      <c r="G34" s="9">
        <v>55160</v>
      </c>
      <c r="H34" s="9">
        <v>112843</v>
      </c>
      <c r="I34" s="9">
        <v>249105</v>
      </c>
      <c r="J34" s="146"/>
      <c r="K34" s="26">
        <f>H34</f>
        <v>112843</v>
      </c>
      <c r="L34" s="26">
        <f>K34</f>
        <v>112843</v>
      </c>
      <c r="M34" s="26">
        <f t="shared" ref="M34:N34" si="11">L34</f>
        <v>112843</v>
      </c>
      <c r="N34" s="53">
        <f t="shared" si="11"/>
        <v>112843</v>
      </c>
      <c r="P34" t="s">
        <v>250</v>
      </c>
    </row>
    <row r="35" spans="2:16" x14ac:dyDescent="0.25">
      <c r="B35" s="7"/>
      <c r="C35" s="4" t="s">
        <v>61</v>
      </c>
      <c r="D35" s="4"/>
      <c r="E35" s="4"/>
      <c r="F35" s="9">
        <v>221308</v>
      </c>
      <c r="G35" s="9">
        <v>312853</v>
      </c>
      <c r="H35" s="9">
        <v>240064</v>
      </c>
      <c r="I35" s="9">
        <v>155730</v>
      </c>
      <c r="J35" s="146"/>
      <c r="K35" s="26">
        <f>H35</f>
        <v>240064</v>
      </c>
      <c r="L35" s="26">
        <f>K35</f>
        <v>240064</v>
      </c>
      <c r="M35" s="26">
        <f t="shared" ref="M35:N35" si="12">L35</f>
        <v>240064</v>
      </c>
      <c r="N35" s="53">
        <f t="shared" si="12"/>
        <v>240064</v>
      </c>
      <c r="P35" t="s">
        <v>250</v>
      </c>
    </row>
    <row r="36" spans="2:16" x14ac:dyDescent="0.25">
      <c r="B36" s="7"/>
      <c r="C36" s="4" t="s">
        <v>74</v>
      </c>
      <c r="D36" s="4"/>
      <c r="E36" s="4"/>
      <c r="F36" s="26">
        <f>SUM(F31:F35)</f>
        <v>763636</v>
      </c>
      <c r="G36" s="26">
        <f>SUM(G31:G35)</f>
        <v>814100</v>
      </c>
      <c r="H36" s="26">
        <f>SUM(H31:H35)</f>
        <v>873703</v>
      </c>
      <c r="I36" s="26">
        <f>SUM(I31:I35)</f>
        <v>903924</v>
      </c>
      <c r="J36" s="146"/>
      <c r="K36" s="26">
        <f>SUM(K31:K35)</f>
        <v>873703</v>
      </c>
      <c r="L36" s="26">
        <f>SUM(L31:L35)</f>
        <v>873703</v>
      </c>
      <c r="M36" s="26">
        <f>SUM(M31:M35)</f>
        <v>873703</v>
      </c>
      <c r="N36" s="53">
        <f>SUM(N31:N35)</f>
        <v>873703</v>
      </c>
    </row>
    <row r="37" spans="2:16" x14ac:dyDescent="0.25">
      <c r="B37" s="7"/>
      <c r="C37" s="4"/>
      <c r="D37" s="4"/>
      <c r="E37" s="4"/>
      <c r="F37" s="9"/>
      <c r="G37" s="9"/>
      <c r="H37" s="9"/>
      <c r="I37" s="9"/>
      <c r="J37" s="134"/>
      <c r="K37" s="4"/>
      <c r="L37" s="4"/>
      <c r="M37" s="4"/>
      <c r="N37" s="8"/>
    </row>
    <row r="38" spans="2:16" x14ac:dyDescent="0.25">
      <c r="B38" s="7" t="s">
        <v>62</v>
      </c>
      <c r="C38" s="4"/>
      <c r="D38" s="4"/>
      <c r="E38" s="4"/>
      <c r="F38" s="9"/>
      <c r="G38" s="9"/>
      <c r="H38" s="9"/>
      <c r="I38" s="9"/>
      <c r="J38" s="142"/>
      <c r="K38" s="4"/>
      <c r="L38" s="4"/>
      <c r="M38" s="4"/>
      <c r="N38" s="8"/>
    </row>
    <row r="39" spans="2:16" x14ac:dyDescent="0.25">
      <c r="B39" s="7"/>
      <c r="C39" s="4" t="s">
        <v>63</v>
      </c>
      <c r="D39" s="4"/>
      <c r="E39" s="4"/>
      <c r="F39" s="9">
        <v>17237224</v>
      </c>
      <c r="G39" s="9">
        <v>14827617</v>
      </c>
      <c r="H39" s="9">
        <v>19973302</v>
      </c>
      <c r="I39" s="9">
        <v>19570884</v>
      </c>
      <c r="J39" s="134"/>
      <c r="K39" s="58">
        <f>H39+'Cash Flow Statement'!J22</f>
        <v>19637364.444444444</v>
      </c>
      <c r="L39" s="58">
        <f>K39+'Cash Flow Statement'!K22</f>
        <v>23006728.460712548</v>
      </c>
      <c r="M39" s="58">
        <f>L39+'Cash Flow Statement'!L22</f>
        <v>27290111.004120499</v>
      </c>
      <c r="N39" s="82">
        <f>M39+'Cash Flow Statement'!M22</f>
        <v>17484399.099321634</v>
      </c>
    </row>
    <row r="40" spans="2:16" x14ac:dyDescent="0.25">
      <c r="B40" s="7"/>
      <c r="C40" s="4" t="s">
        <v>64</v>
      </c>
      <c r="D40" s="4"/>
      <c r="E40" s="4"/>
      <c r="F40" s="9">
        <v>66092</v>
      </c>
      <c r="G40" s="9">
        <v>59463</v>
      </c>
      <c r="H40" s="9">
        <v>41725</v>
      </c>
      <c r="I40" s="9">
        <v>1442</v>
      </c>
      <c r="J40" s="142"/>
      <c r="K40" s="58">
        <f>H40+'Cash Flow Statement'!J23</f>
        <v>41725</v>
      </c>
      <c r="L40" s="58">
        <f>K40+'Cash Flow Statement'!K23</f>
        <v>41725</v>
      </c>
      <c r="M40" s="58">
        <f>L40+'Cash Flow Statement'!L23</f>
        <v>41725</v>
      </c>
      <c r="N40" s="82">
        <f>M40+'Cash Flow Statement'!M23</f>
        <v>41725</v>
      </c>
    </row>
    <row r="41" spans="2:16" x14ac:dyDescent="0.25">
      <c r="B41" s="7"/>
      <c r="C41" s="4" t="s">
        <v>65</v>
      </c>
      <c r="D41" s="4"/>
      <c r="E41" s="4"/>
      <c r="F41" s="28">
        <v>0</v>
      </c>
      <c r="G41" s="28">
        <v>0</v>
      </c>
      <c r="H41" s="9">
        <v>49387</v>
      </c>
      <c r="I41" s="9">
        <v>46799</v>
      </c>
      <c r="J41" s="142"/>
      <c r="K41" s="26">
        <f>H41</f>
        <v>49387</v>
      </c>
      <c r="L41" s="26">
        <f>K41</f>
        <v>49387</v>
      </c>
      <c r="M41" s="26">
        <f t="shared" ref="M41:N41" si="13">L41</f>
        <v>49387</v>
      </c>
      <c r="N41" s="53">
        <f t="shared" si="13"/>
        <v>49387</v>
      </c>
      <c r="P41" t="s">
        <v>250</v>
      </c>
    </row>
    <row r="42" spans="2:16" x14ac:dyDescent="0.25">
      <c r="B42" s="7"/>
      <c r="C42" s="4" t="s">
        <v>66</v>
      </c>
      <c r="D42" s="4"/>
      <c r="E42" s="4"/>
      <c r="F42" s="9">
        <v>9684884</v>
      </c>
      <c r="G42" s="9">
        <v>8803558</v>
      </c>
      <c r="H42" s="9">
        <v>544183</v>
      </c>
      <c r="I42" s="100">
        <v>6175434</v>
      </c>
      <c r="J42" s="142"/>
      <c r="K42" s="167">
        <f>H42+'Cash Flow Statement'!J52+'Cash Flow Statement'!J53</f>
        <v>6170507</v>
      </c>
      <c r="L42" s="167">
        <f>K42+'Cash Flow Statement'!K52+'Cash Flow Statement'!K53</f>
        <v>4554154</v>
      </c>
      <c r="M42" s="167">
        <f>L42+'Cash Flow Statement'!L52+'Cash Flow Statement'!L53</f>
        <v>3368749</v>
      </c>
      <c r="N42" s="167">
        <f>M42+'Cash Flow Statement'!M52+'Cash Flow Statement'!M53</f>
        <v>368749</v>
      </c>
    </row>
    <row r="43" spans="2:16" x14ac:dyDescent="0.25">
      <c r="B43" s="7"/>
      <c r="C43" s="4" t="s">
        <v>67</v>
      </c>
      <c r="D43" s="4"/>
      <c r="E43" s="4"/>
      <c r="F43" s="9">
        <v>47253</v>
      </c>
      <c r="G43" s="9">
        <v>47893</v>
      </c>
      <c r="H43" s="9">
        <v>58993</v>
      </c>
      <c r="I43" s="9">
        <v>67808</v>
      </c>
      <c r="J43" s="142"/>
      <c r="K43" s="26">
        <f>H43</f>
        <v>58993</v>
      </c>
      <c r="L43" s="26">
        <f>K43</f>
        <v>58993</v>
      </c>
      <c r="M43" s="26">
        <f t="shared" ref="M43:N43" si="14">L43</f>
        <v>58993</v>
      </c>
      <c r="N43" s="53">
        <f t="shared" si="14"/>
        <v>58993</v>
      </c>
      <c r="P43" t="s">
        <v>250</v>
      </c>
    </row>
    <row r="44" spans="2:16" x14ac:dyDescent="0.25">
      <c r="B44" s="7"/>
      <c r="C44" s="4" t="s">
        <v>75</v>
      </c>
      <c r="D44" s="4"/>
      <c r="E44" s="4"/>
      <c r="F44" s="26">
        <f>SUM(F39:F43)</f>
        <v>27035453</v>
      </c>
      <c r="G44" s="26">
        <f>SUM(G39:G43)</f>
        <v>23738531</v>
      </c>
      <c r="H44" s="26">
        <f>SUM(H39:H43)</f>
        <v>20667590</v>
      </c>
      <c r="I44" s="26">
        <f>SUM(I39:I43)</f>
        <v>25862367</v>
      </c>
      <c r="J44" s="142"/>
      <c r="K44" s="26">
        <f>SUM(K39:K43)</f>
        <v>25957976.444444444</v>
      </c>
      <c r="L44" s="26">
        <f t="shared" ref="L44:N44" si="15">SUM(L39:L43)</f>
        <v>27710987.460712548</v>
      </c>
      <c r="M44" s="26">
        <f t="shared" si="15"/>
        <v>30808965.004120499</v>
      </c>
      <c r="N44" s="53">
        <f t="shared" si="15"/>
        <v>18003253.099321634</v>
      </c>
    </row>
    <row r="45" spans="2:16" x14ac:dyDescent="0.25">
      <c r="B45" s="7"/>
      <c r="C45" s="4"/>
      <c r="D45" s="4"/>
      <c r="E45" s="4"/>
      <c r="F45" s="4"/>
      <c r="G45" s="4"/>
      <c r="H45" s="4"/>
      <c r="I45" s="4"/>
      <c r="J45" s="142"/>
      <c r="K45" s="4"/>
      <c r="L45" s="4"/>
      <c r="M45" s="4"/>
      <c r="N45" s="8"/>
    </row>
    <row r="46" spans="2:16" x14ac:dyDescent="0.25">
      <c r="B46" s="7" t="s">
        <v>68</v>
      </c>
      <c r="C46" s="4"/>
      <c r="D46" s="4"/>
      <c r="E46" s="4"/>
      <c r="F46" s="4"/>
      <c r="G46" s="4"/>
      <c r="H46" s="4"/>
      <c r="I46" s="4"/>
      <c r="J46" s="142"/>
      <c r="K46" s="4"/>
      <c r="L46" s="4"/>
      <c r="M46" s="4"/>
      <c r="N46" s="8"/>
    </row>
    <row r="47" spans="2:16" x14ac:dyDescent="0.25">
      <c r="B47" s="7"/>
      <c r="C47" s="4" t="s">
        <v>69</v>
      </c>
      <c r="D47" s="4"/>
      <c r="E47" s="4"/>
      <c r="F47" s="9">
        <v>21468693</v>
      </c>
      <c r="G47" s="9">
        <v>22016854</v>
      </c>
      <c r="H47" s="9">
        <v>22433668</v>
      </c>
      <c r="I47" s="9">
        <v>22515346</v>
      </c>
      <c r="J47" s="142"/>
      <c r="K47" s="58">
        <f>H47+'Cash Flow Statement'!J50+'Cash Flow Statement'!J51</f>
        <v>22433668</v>
      </c>
      <c r="L47" s="58">
        <f>K47+'Cash Flow Statement'!K50+'Cash Flow Statement'!K51</f>
        <v>22433668</v>
      </c>
      <c r="M47" s="58">
        <f>L47+'Cash Flow Statement'!L50+'Cash Flow Statement'!L51</f>
        <v>22433668</v>
      </c>
      <c r="N47" s="82">
        <f>M47+'Cash Flow Statement'!M50+'Cash Flow Statement'!M51</f>
        <v>22433668</v>
      </c>
      <c r="P47" t="s">
        <v>251</v>
      </c>
    </row>
    <row r="48" spans="2:16" x14ac:dyDescent="0.25">
      <c r="B48" s="7"/>
      <c r="C48" s="4" t="s">
        <v>70</v>
      </c>
      <c r="D48" s="4"/>
      <c r="E48" s="4"/>
      <c r="F48" s="9">
        <v>34013004</v>
      </c>
      <c r="G48" s="9">
        <v>40263405</v>
      </c>
      <c r="H48" s="9">
        <v>51153725</v>
      </c>
      <c r="I48" s="9">
        <v>43766104</v>
      </c>
      <c r="J48" s="142"/>
      <c r="K48" s="58">
        <f ca="1">H48+'Cash Flow Statement'!J6+'Cash Flow Statement'!J7+'Cash Flow Statement'!J8+'Cash Flow Statement'!J11+'Cash Flow Statement'!J13+'Cash Flow Statement'!J14+'Cash Flow Statement'!J27+'Cash Flow Statement'!J28+'Cash Flow Statement'!J29+'Cash Flow Statement'!J43+'Cash Flow Statement'!J45+'Cash Flow Statement'!J46+'Cash Flow Statement'!J56+'Cash Flow Statement'!J57+'Cash Flow Statement'!J12+'Cash Flow Statement'!J62</f>
        <v>46838334.286291488</v>
      </c>
      <c r="L48" s="58">
        <f ca="1">K48+'Cash Flow Statement'!K6+'Cash Flow Statement'!K7+'Cash Flow Statement'!K8+'Cash Flow Statement'!K11+'Cash Flow Statement'!K13+'Cash Flow Statement'!K14+'Cash Flow Statement'!K27+'Cash Flow Statement'!K28+'Cash Flow Statement'!K29+'Cash Flow Statement'!K43+'Cash Flow Statement'!K45+'Cash Flow Statement'!K46+'Cash Flow Statement'!K56+'Cash Flow Statement'!K57+'Cash Flow Statement'!K12+'Cash Flow Statement'!K62</f>
        <v>41974939.407291211</v>
      </c>
      <c r="M48" s="58">
        <f ca="1">L48+'Cash Flow Statement'!L6+'Cash Flow Statement'!L7+'Cash Flow Statement'!L8+'Cash Flow Statement'!L11+'Cash Flow Statement'!L13+'Cash Flow Statement'!L14+'Cash Flow Statement'!L27+'Cash Flow Statement'!L28+'Cash Flow Statement'!L29+'Cash Flow Statement'!L43+'Cash Flow Statement'!L45+'Cash Flow Statement'!L46+'Cash Flow Statement'!L56+'Cash Flow Statement'!L57+'Cash Flow Statement'!L12+'Cash Flow Statement'!L62</f>
        <v>41258856.100131206</v>
      </c>
      <c r="N48" s="58">
        <f ca="1">M48+'Cash Flow Statement'!M6+'Cash Flow Statement'!M7+'Cash Flow Statement'!M8+'Cash Flow Statement'!M11+'Cash Flow Statement'!M13+'Cash Flow Statement'!M14+'Cash Flow Statement'!M27+'Cash Flow Statement'!M28+'Cash Flow Statement'!M29+'Cash Flow Statement'!M43+'Cash Flow Statement'!M45+'Cash Flow Statement'!M46+'Cash Flow Statement'!M56+'Cash Flow Statement'!M57+'Cash Flow Statement'!M12+'Cash Flow Statement'!M62</f>
        <v>51495804.828150488</v>
      </c>
    </row>
    <row r="49" spans="2:14" x14ac:dyDescent="0.25">
      <c r="B49" s="7"/>
      <c r="C49" s="4" t="s">
        <v>71</v>
      </c>
      <c r="D49" s="4"/>
      <c r="E49" s="4"/>
      <c r="F49" s="26">
        <f>SUM(F47:F48)</f>
        <v>55481697</v>
      </c>
      <c r="G49" s="26">
        <f>SUM(G47:G48)</f>
        <v>62280259</v>
      </c>
      <c r="H49" s="26">
        <f>SUM(H47:H48)</f>
        <v>73587393</v>
      </c>
      <c r="I49" s="26">
        <f>SUM(I47:I48)</f>
        <v>66281450</v>
      </c>
      <c r="J49" s="142"/>
      <c r="K49" s="26">
        <f ca="1">SUM(K47:K48)</f>
        <v>69272002.28629148</v>
      </c>
      <c r="L49" s="26">
        <f ca="1">SUM(L47:L48)</f>
        <v>64408607.407291211</v>
      </c>
      <c r="M49" s="26">
        <f t="shared" ref="M49:N49" ca="1" si="16">SUM(M47:M48)</f>
        <v>63692524.100131206</v>
      </c>
      <c r="N49" s="53">
        <f t="shared" ca="1" si="16"/>
        <v>73929472.828150481</v>
      </c>
    </row>
    <row r="50" spans="2:14" x14ac:dyDescent="0.25">
      <c r="B50" s="7"/>
      <c r="C50" s="4"/>
      <c r="D50" s="4"/>
      <c r="E50" s="4"/>
      <c r="F50" s="4"/>
      <c r="G50" s="4"/>
      <c r="H50" s="4"/>
      <c r="I50" s="4"/>
      <c r="J50" s="142"/>
      <c r="K50" s="4"/>
      <c r="L50" s="4"/>
      <c r="M50" s="4"/>
      <c r="N50" s="8"/>
    </row>
    <row r="51" spans="2:14" x14ac:dyDescent="0.25">
      <c r="B51" s="7"/>
      <c r="C51" s="4" t="s">
        <v>72</v>
      </c>
      <c r="D51" s="4"/>
      <c r="E51" s="4"/>
      <c r="F51" s="9">
        <v>533896</v>
      </c>
      <c r="G51" s="9">
        <v>550941</v>
      </c>
      <c r="H51" s="9">
        <v>567486</v>
      </c>
      <c r="I51" s="9">
        <v>612125</v>
      </c>
      <c r="J51" s="142"/>
      <c r="K51" s="26">
        <f>H51+'Cash Flow Statement'!J55</f>
        <v>567486</v>
      </c>
      <c r="L51" s="26">
        <f>K51+'Cash Flow Statement'!K55</f>
        <v>567486</v>
      </c>
      <c r="M51" s="26">
        <f>L51+'Cash Flow Statement'!L55</f>
        <v>567486</v>
      </c>
      <c r="N51" s="53">
        <f>M51+'Cash Flow Statement'!M55</f>
        <v>567486</v>
      </c>
    </row>
    <row r="52" spans="2:14" x14ac:dyDescent="0.25">
      <c r="B52" s="30"/>
      <c r="C52" s="31" t="s">
        <v>78</v>
      </c>
      <c r="D52" s="31"/>
      <c r="E52" s="31"/>
      <c r="F52" s="32">
        <f>F49+F51</f>
        <v>56015593</v>
      </c>
      <c r="G52" s="32">
        <f>G49+G51</f>
        <v>62831200</v>
      </c>
      <c r="H52" s="32">
        <f>H49+H51</f>
        <v>74154879</v>
      </c>
      <c r="I52" s="32">
        <f>I49+I51</f>
        <v>66893575</v>
      </c>
      <c r="J52" s="155"/>
      <c r="K52" s="32">
        <f ca="1">K49+K51</f>
        <v>69839488.28629148</v>
      </c>
      <c r="L52" s="32">
        <f ca="1">L49+L51</f>
        <v>64976093.407291211</v>
      </c>
      <c r="M52" s="32">
        <f t="shared" ref="M52:N52" ca="1" si="17">M49+M51</f>
        <v>64260010.100131206</v>
      </c>
      <c r="N52" s="97">
        <f t="shared" ca="1" si="17"/>
        <v>74496958.828150481</v>
      </c>
    </row>
    <row r="53" spans="2:14" ht="15.75" thickBot="1" x14ac:dyDescent="0.3"/>
    <row r="54" spans="2:14" x14ac:dyDescent="0.25">
      <c r="J54" s="163" t="s">
        <v>256</v>
      </c>
      <c r="K54" s="164">
        <f ca="1">K16+K28</f>
        <v>96671167.730735928</v>
      </c>
      <c r="L54" s="164">
        <f t="shared" ref="L54:N54" ca="1" si="18">L16+L28</f>
        <v>93560783.868003771</v>
      </c>
      <c r="M54" s="164">
        <f t="shared" ca="1" si="18"/>
        <v>95942678.104251713</v>
      </c>
      <c r="N54" s="168">
        <f t="shared" ca="1" si="18"/>
        <v>93373914.927472129</v>
      </c>
    </row>
    <row r="55" spans="2:14" x14ac:dyDescent="0.25">
      <c r="J55" s="165" t="s">
        <v>257</v>
      </c>
      <c r="K55" s="26">
        <f>K44+K36</f>
        <v>26831679.444444444</v>
      </c>
      <c r="L55" s="26">
        <f t="shared" ref="L55:N55" si="19">L44+L36</f>
        <v>28584690.460712548</v>
      </c>
      <c r="M55" s="26">
        <f t="shared" si="19"/>
        <v>31682668.004120499</v>
      </c>
      <c r="N55" s="169">
        <f t="shared" si="19"/>
        <v>18876956.099321634</v>
      </c>
    </row>
    <row r="56" spans="2:14" x14ac:dyDescent="0.25">
      <c r="J56" s="165" t="s">
        <v>78</v>
      </c>
      <c r="K56" s="26">
        <f ca="1">K52</f>
        <v>69839488.28629148</v>
      </c>
      <c r="L56" s="26">
        <f t="shared" ref="L56:N56" ca="1" si="20">L52</f>
        <v>64976093.407291211</v>
      </c>
      <c r="M56" s="26">
        <f t="shared" ca="1" si="20"/>
        <v>64260010.100131206</v>
      </c>
      <c r="N56" s="169">
        <f t="shared" ca="1" si="20"/>
        <v>74496958.828150481</v>
      </c>
    </row>
    <row r="57" spans="2:14" ht="15.75" thickBot="1" x14ac:dyDescent="0.3">
      <c r="J57" s="166" t="s">
        <v>258</v>
      </c>
      <c r="K57" s="89">
        <f ca="1">K55+K56</f>
        <v>96671167.730735928</v>
      </c>
      <c r="L57" s="89">
        <f t="shared" ref="L57:N57" ca="1" si="21">L55+L56</f>
        <v>93560783.868003756</v>
      </c>
      <c r="M57" s="89">
        <f t="shared" ca="1" si="21"/>
        <v>95942678.104251713</v>
      </c>
      <c r="N57" s="170">
        <f t="shared" ca="1" si="21"/>
        <v>93373914.927472115</v>
      </c>
    </row>
    <row r="59" spans="2:14" x14ac:dyDescent="0.25">
      <c r="J59" s="171" t="s">
        <v>259</v>
      </c>
      <c r="K59" s="23">
        <f ca="1">K54-K57</f>
        <v>0</v>
      </c>
      <c r="L59" s="23">
        <f ca="1">L54-L57</f>
        <v>0</v>
      </c>
      <c r="M59" s="23">
        <f t="shared" ref="M59:N59" ca="1" si="22">M54-M57</f>
        <v>0</v>
      </c>
      <c r="N59" s="23">
        <f t="shared" ca="1" si="22"/>
        <v>0</v>
      </c>
    </row>
    <row r="60" spans="2:14" x14ac:dyDescent="0.25">
      <c r="L60" s="23">
        <f ca="1">L59-K59</f>
        <v>0</v>
      </c>
      <c r="M60" s="23">
        <f t="shared" ref="M60:N60" ca="1" si="23">M59-L59</f>
        <v>0</v>
      </c>
      <c r="N60" s="23">
        <f t="shared" ca="1" si="23"/>
        <v>0</v>
      </c>
    </row>
    <row r="62" spans="2:14" x14ac:dyDescent="0.25">
      <c r="K62" s="23"/>
    </row>
  </sheetData>
  <mergeCells count="2">
    <mergeCell ref="F2:H2"/>
    <mergeCell ref="J2:N2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70"/>
  <sheetViews>
    <sheetView zoomScale="70" zoomScaleNormal="70" workbookViewId="0">
      <selection activeCell="B2" sqref="B2"/>
    </sheetView>
  </sheetViews>
  <sheetFormatPr defaultRowHeight="15" x14ac:dyDescent="0.25"/>
  <cols>
    <col min="1" max="1" width="5" customWidth="1"/>
    <col min="2" max="2" width="3.28515625" customWidth="1"/>
    <col min="3" max="3" width="2.85546875" customWidth="1"/>
    <col min="4" max="4" width="69.28515625" customWidth="1"/>
    <col min="6" max="6" width="13" bestFit="1" customWidth="1"/>
    <col min="7" max="7" width="12.5703125" bestFit="1" customWidth="1"/>
    <col min="8" max="8" width="13" bestFit="1" customWidth="1"/>
    <col min="9" max="9" width="12.42578125" customWidth="1"/>
    <col min="10" max="10" width="15.85546875" bestFit="1" customWidth="1"/>
    <col min="11" max="13" width="14" bestFit="1" customWidth="1"/>
    <col min="14" max="14" width="3.42578125" customWidth="1"/>
    <col min="15" max="15" width="19.5703125" customWidth="1"/>
  </cols>
  <sheetData>
    <row r="2" spans="1:16" x14ac:dyDescent="0.25">
      <c r="B2" s="1"/>
      <c r="C2" s="2"/>
      <c r="D2" s="2"/>
      <c r="E2" s="2"/>
      <c r="F2" s="240" t="s">
        <v>1</v>
      </c>
      <c r="G2" s="240"/>
      <c r="H2" s="240"/>
      <c r="I2" s="144"/>
      <c r="J2" s="241"/>
      <c r="K2" s="241"/>
      <c r="L2" s="241"/>
      <c r="M2" s="242"/>
    </row>
    <row r="3" spans="1:16" ht="15.75" thickBot="1" x14ac:dyDescent="0.3">
      <c r="B3" s="3" t="s">
        <v>3</v>
      </c>
      <c r="C3" s="14"/>
      <c r="D3" s="14"/>
      <c r="E3" s="14"/>
      <c r="F3" s="5" t="s">
        <v>4</v>
      </c>
      <c r="G3" s="5" t="s">
        <v>5</v>
      </c>
      <c r="H3" s="5" t="s">
        <v>11</v>
      </c>
      <c r="I3" s="5" t="s">
        <v>113</v>
      </c>
      <c r="J3" s="5" t="s">
        <v>6</v>
      </c>
      <c r="K3" s="5" t="s">
        <v>7</v>
      </c>
      <c r="L3" s="5" t="s">
        <v>8</v>
      </c>
      <c r="M3" s="6" t="s">
        <v>10</v>
      </c>
    </row>
    <row r="4" spans="1:16" x14ac:dyDescent="0.25">
      <c r="B4" s="7"/>
      <c r="C4" s="4"/>
      <c r="D4" s="4"/>
      <c r="E4" s="4" t="s">
        <v>9</v>
      </c>
      <c r="F4" s="4"/>
      <c r="G4" s="4"/>
      <c r="H4" s="4"/>
      <c r="I4" s="4"/>
      <c r="J4" s="4"/>
      <c r="K4" s="4"/>
      <c r="L4" s="4"/>
      <c r="M4" s="8"/>
    </row>
    <row r="5" spans="1:16" x14ac:dyDescent="0.25">
      <c r="B5" s="78" t="s">
        <v>79</v>
      </c>
      <c r="C5" s="4"/>
      <c r="D5" s="4"/>
      <c r="E5" s="4"/>
      <c r="F5" s="22"/>
      <c r="G5" s="22"/>
      <c r="H5" s="22"/>
      <c r="I5" s="22"/>
      <c r="J5" s="10"/>
      <c r="K5" s="10"/>
      <c r="L5" s="10"/>
      <c r="M5" s="11"/>
    </row>
    <row r="6" spans="1:16" x14ac:dyDescent="0.25">
      <c r="A6" t="s">
        <v>246</v>
      </c>
      <c r="B6" s="7"/>
      <c r="C6" s="4" t="s">
        <v>27</v>
      </c>
      <c r="D6" s="4"/>
      <c r="E6" s="4"/>
      <c r="F6" s="22"/>
      <c r="G6" s="22"/>
      <c r="H6" s="58">
        <f>'Income Statement'!G35</f>
        <v>13283819</v>
      </c>
      <c r="I6" s="22"/>
      <c r="J6" s="61">
        <f ca="1">'Income Statement'!K35</f>
        <v>-5352864.44326948</v>
      </c>
      <c r="K6" s="61">
        <f ca="1">'Income Statement'!L35</f>
        <v>-5570188.6118967794</v>
      </c>
      <c r="L6" s="61">
        <f ca="1">'Income Statement'!M35</f>
        <v>436525.16148353368</v>
      </c>
      <c r="M6" s="86">
        <f ca="1">'Income Statement'!N35</f>
        <v>11211730.092040122</v>
      </c>
      <c r="O6" t="s">
        <v>70</v>
      </c>
    </row>
    <row r="7" spans="1:16" x14ac:dyDescent="0.25">
      <c r="A7" t="s">
        <v>246</v>
      </c>
      <c r="B7" s="7"/>
      <c r="C7" s="4" t="s">
        <v>23</v>
      </c>
      <c r="D7" s="4"/>
      <c r="E7" s="4"/>
      <c r="F7" s="22"/>
      <c r="G7" s="22"/>
      <c r="H7" s="58">
        <f>'Income Statement'!G29</f>
        <v>-129326</v>
      </c>
      <c r="I7" s="22"/>
      <c r="J7" s="61">
        <f>'Income Statement'!K29</f>
        <v>-167867.25</v>
      </c>
      <c r="K7" s="61">
        <f>'Income Statement'!L29</f>
        <v>-268116.52500000002</v>
      </c>
      <c r="L7" s="61">
        <f>'Income Statement'!M29</f>
        <v>-198072.57500000001</v>
      </c>
      <c r="M7" s="86">
        <f>'Income Statement'!N29</f>
        <v>-93437.450000000012</v>
      </c>
      <c r="O7" t="s">
        <v>70</v>
      </c>
    </row>
    <row r="8" spans="1:16" x14ac:dyDescent="0.25">
      <c r="A8" t="s">
        <v>246</v>
      </c>
      <c r="B8" s="7"/>
      <c r="C8" s="4" t="s">
        <v>139</v>
      </c>
      <c r="D8" s="4"/>
      <c r="E8" s="4"/>
      <c r="F8" s="22"/>
      <c r="G8" s="22"/>
      <c r="H8" s="58">
        <f>('Income Statement'!G32+'Income Statement'!G33)</f>
        <v>532155</v>
      </c>
      <c r="I8" s="22"/>
      <c r="J8" s="61">
        <f>'Income Statement'!K32+'Income Statement'!K33</f>
        <v>399842</v>
      </c>
      <c r="K8" s="61">
        <f>'Income Statement'!L32+'Income Statement'!L33</f>
        <v>390948</v>
      </c>
      <c r="L8" s="61">
        <f>'Income Statement'!M32+'Income Statement'!M33</f>
        <v>427641.25</v>
      </c>
      <c r="M8" s="86">
        <f>'Income Statement'!N32+'Income Statement'!N33</f>
        <v>437646.5625</v>
      </c>
      <c r="O8" t="s">
        <v>70</v>
      </c>
    </row>
    <row r="9" spans="1:16" x14ac:dyDescent="0.25">
      <c r="A9" t="s">
        <v>246</v>
      </c>
      <c r="B9" s="7"/>
      <c r="C9" s="21" t="s">
        <v>140</v>
      </c>
      <c r="D9" s="21"/>
      <c r="E9" s="4"/>
      <c r="F9" s="22"/>
      <c r="G9" s="22"/>
      <c r="H9" s="58">
        <f>'Income Statement'!G26</f>
        <v>-3456596</v>
      </c>
      <c r="I9" s="22"/>
      <c r="J9" s="61">
        <f>'Income Statement'!K26</f>
        <v>-3195006</v>
      </c>
      <c r="K9" s="61">
        <f>'Income Statement'!L26</f>
        <v>-3498428.4471677034</v>
      </c>
      <c r="L9" s="61">
        <f>'Income Statement'!M26</f>
        <v>-3489357.8058518679</v>
      </c>
      <c r="M9" s="86">
        <f>'Income Statement'!N26</f>
        <v>-3541536.625582675</v>
      </c>
      <c r="P9" t="s">
        <v>150</v>
      </c>
    </row>
    <row r="10" spans="1:16" x14ac:dyDescent="0.25">
      <c r="A10" s="159"/>
      <c r="B10" s="7"/>
      <c r="C10" s="4" t="s">
        <v>17</v>
      </c>
      <c r="D10" s="4"/>
      <c r="E10" s="4"/>
      <c r="F10" s="22"/>
      <c r="G10" s="58">
        <f>'Income Statement'!F13</f>
        <v>1146210</v>
      </c>
      <c r="H10" s="58">
        <f>'Income Statement'!G13</f>
        <v>1113294</v>
      </c>
      <c r="I10" s="22"/>
      <c r="J10" s="157">
        <f ca="1">SUM(J11:J12)</f>
        <v>896482.80673051951</v>
      </c>
      <c r="K10" s="157">
        <f ca="1">'Income Statement'!L13</f>
        <v>869928.70199243713</v>
      </c>
      <c r="L10" s="157">
        <f ca="1">'Income Statement'!M13</f>
        <v>848895.25011309911</v>
      </c>
      <c r="M10" s="158">
        <f ca="1">'Income Statement'!N13</f>
        <v>841782.96073417412</v>
      </c>
      <c r="P10" t="s">
        <v>151</v>
      </c>
    </row>
    <row r="11" spans="1:16" x14ac:dyDescent="0.25">
      <c r="A11" t="s">
        <v>246</v>
      </c>
      <c r="B11" s="7"/>
      <c r="C11" s="4"/>
      <c r="D11" s="21" t="s">
        <v>231</v>
      </c>
      <c r="E11" s="4"/>
      <c r="F11" s="22"/>
      <c r="G11" s="58"/>
      <c r="H11" s="58"/>
      <c r="I11" s="22"/>
      <c r="J11" s="61">
        <f ca="1">'Income Statement'!K14</f>
        <v>96482.806730519529</v>
      </c>
      <c r="K11" s="61">
        <f ca="1">'Income Statement'!L14</f>
        <v>69928.701992437112</v>
      </c>
      <c r="L11" s="61">
        <f ca="1">'Income Statement'!M14</f>
        <v>48895.250113099086</v>
      </c>
      <c r="M11" s="61">
        <f ca="1">'Income Statement'!N14</f>
        <v>41782.960734174063</v>
      </c>
      <c r="O11" t="s">
        <v>70</v>
      </c>
    </row>
    <row r="12" spans="1:16" x14ac:dyDescent="0.25">
      <c r="A12" t="s">
        <v>246</v>
      </c>
      <c r="B12" s="7"/>
      <c r="C12" s="4"/>
      <c r="D12" s="21" t="s">
        <v>45</v>
      </c>
      <c r="E12" s="4"/>
      <c r="F12" s="22"/>
      <c r="G12" s="58"/>
      <c r="H12" s="58"/>
      <c r="I12" s="22"/>
      <c r="J12" s="61">
        <f>'Income Statement'!K15</f>
        <v>800000</v>
      </c>
      <c r="K12" s="61">
        <f>'Income Statement'!L15</f>
        <v>800000</v>
      </c>
      <c r="L12" s="61">
        <f>'Income Statement'!M15</f>
        <v>800000</v>
      </c>
      <c r="M12" s="61">
        <f>'Income Statement'!N15</f>
        <v>800000</v>
      </c>
      <c r="O12" t="s">
        <v>70</v>
      </c>
    </row>
    <row r="13" spans="1:16" x14ac:dyDescent="0.25">
      <c r="A13" t="s">
        <v>246</v>
      </c>
      <c r="B13" s="7"/>
      <c r="C13" s="4"/>
      <c r="D13" s="4" t="s">
        <v>224</v>
      </c>
      <c r="E13" s="4"/>
      <c r="F13" s="4"/>
      <c r="G13" s="4"/>
      <c r="H13" s="58">
        <v>227025</v>
      </c>
      <c r="I13" s="4"/>
      <c r="J13" s="58">
        <f>'Income Statement'!K22</f>
        <v>0</v>
      </c>
      <c r="K13" s="58">
        <v>0</v>
      </c>
      <c r="L13" s="58">
        <v>0</v>
      </c>
      <c r="M13" s="82">
        <v>0</v>
      </c>
      <c r="O13" t="s">
        <v>70</v>
      </c>
      <c r="P13" t="s">
        <v>152</v>
      </c>
    </row>
    <row r="14" spans="1:16" x14ac:dyDescent="0.25">
      <c r="A14" t="s">
        <v>246</v>
      </c>
      <c r="B14" s="7"/>
      <c r="C14" s="4"/>
      <c r="D14" s="4" t="s">
        <v>225</v>
      </c>
      <c r="E14" s="4"/>
      <c r="F14" s="4"/>
      <c r="G14" s="4"/>
      <c r="H14" s="58">
        <v>-45221</v>
      </c>
      <c r="I14" s="4"/>
      <c r="J14" s="58">
        <f>'Income Statement'!K23</f>
        <v>0</v>
      </c>
      <c r="K14" s="58">
        <v>0</v>
      </c>
      <c r="L14" s="58">
        <v>0</v>
      </c>
      <c r="M14" s="82">
        <v>0</v>
      </c>
      <c r="O14" t="s">
        <v>70</v>
      </c>
      <c r="P14" t="s">
        <v>152</v>
      </c>
    </row>
    <row r="15" spans="1:16" x14ac:dyDescent="0.25">
      <c r="A15" t="s">
        <v>246</v>
      </c>
      <c r="B15" s="7"/>
      <c r="C15" s="21" t="s">
        <v>141</v>
      </c>
      <c r="D15" s="21"/>
      <c r="E15" s="4"/>
      <c r="F15" s="60"/>
      <c r="G15" s="145">
        <v>114457</v>
      </c>
      <c r="H15" s="145">
        <v>-166314</v>
      </c>
      <c r="I15" s="22"/>
      <c r="J15" s="9">
        <v>0</v>
      </c>
      <c r="K15" s="9">
        <v>0</v>
      </c>
      <c r="L15" s="9">
        <v>0</v>
      </c>
      <c r="M15" s="87">
        <v>0</v>
      </c>
      <c r="P15" t="s">
        <v>152</v>
      </c>
    </row>
    <row r="16" spans="1:16" x14ac:dyDescent="0.25">
      <c r="A16" t="s">
        <v>246</v>
      </c>
      <c r="B16" s="7"/>
      <c r="C16" s="21" t="s">
        <v>142</v>
      </c>
      <c r="D16" s="21"/>
      <c r="E16" s="4"/>
      <c r="F16" s="60"/>
      <c r="G16" s="145">
        <v>94796</v>
      </c>
      <c r="H16" s="145">
        <v>-109077</v>
      </c>
      <c r="I16" s="22"/>
      <c r="J16" s="9">
        <v>0</v>
      </c>
      <c r="K16" s="9">
        <v>0</v>
      </c>
      <c r="L16" s="9">
        <v>0</v>
      </c>
      <c r="M16" s="87">
        <v>0</v>
      </c>
      <c r="P16" t="s">
        <v>152</v>
      </c>
    </row>
    <row r="17" spans="1:16" ht="15.75" thickBot="1" x14ac:dyDescent="0.3">
      <c r="A17" s="159"/>
      <c r="B17" s="7"/>
      <c r="C17" s="21" t="s">
        <v>143</v>
      </c>
      <c r="D17" s="21"/>
      <c r="E17" s="4"/>
      <c r="F17" s="9">
        <v>13671531</v>
      </c>
      <c r="G17" s="9">
        <v>15820738</v>
      </c>
      <c r="H17" s="9">
        <f>H6-SUM(H7:H16)</f>
        <v>15317879</v>
      </c>
      <c r="I17" s="22"/>
      <c r="J17" s="84">
        <f ca="1">J6+J7+J8-J9+J10-SUM(J13:J16)</f>
        <v>-1029400.8865389605</v>
      </c>
      <c r="K17" s="84">
        <f t="shared" ref="K17:M17" ca="1" si="0">K6+K7+K8-K9+K10-SUM(K13:K16)</f>
        <v>-1078999.9877366391</v>
      </c>
      <c r="L17" s="84">
        <f t="shared" ca="1" si="0"/>
        <v>5004346.8924485007</v>
      </c>
      <c r="M17" s="84">
        <f t="shared" ca="1" si="0"/>
        <v>15939258.79085697</v>
      </c>
    </row>
    <row r="18" spans="1:16" ht="15.75" thickTop="1" x14ac:dyDescent="0.25">
      <c r="B18" s="7"/>
      <c r="C18" s="21"/>
      <c r="D18" s="21"/>
      <c r="E18" s="4"/>
      <c r="F18" s="22"/>
      <c r="G18" s="22"/>
      <c r="H18" s="22"/>
      <c r="I18" s="22"/>
      <c r="J18" s="10"/>
      <c r="K18" s="10"/>
      <c r="L18" s="10"/>
      <c r="M18" s="11"/>
    </row>
    <row r="19" spans="1:16" x14ac:dyDescent="0.25">
      <c r="B19" s="7"/>
      <c r="C19" s="55" t="s">
        <v>144</v>
      </c>
      <c r="D19" s="55"/>
      <c r="E19" s="4"/>
      <c r="F19" s="22"/>
      <c r="G19" s="22"/>
      <c r="H19" s="22"/>
      <c r="I19" s="22"/>
      <c r="J19" s="10"/>
      <c r="K19" s="10"/>
      <c r="L19" s="10"/>
      <c r="M19" s="11"/>
    </row>
    <row r="20" spans="1:16" x14ac:dyDescent="0.25">
      <c r="A20" t="s">
        <v>246</v>
      </c>
      <c r="B20" s="7"/>
      <c r="C20" s="56" t="s">
        <v>145</v>
      </c>
      <c r="D20" s="56"/>
      <c r="E20" s="4"/>
      <c r="F20" s="9">
        <v>-9807</v>
      </c>
      <c r="G20" s="9">
        <v>-18356</v>
      </c>
      <c r="H20" s="9">
        <v>11965</v>
      </c>
      <c r="I20" s="22"/>
      <c r="J20" s="61">
        <f>'Operating Working Capital'!H6-'Operating Working Capital'!J6</f>
        <v>-6501.5000000000291</v>
      </c>
      <c r="K20" s="61">
        <f>'Operating Working Capital'!J6-'Operating Working Capital'!K6</f>
        <v>-36404.813760576653</v>
      </c>
      <c r="L20" s="61">
        <f>'Operating Working Capital'!K6-'Operating Working Capital'!L6</f>
        <v>-61275.289488880691</v>
      </c>
      <c r="M20" s="61">
        <f>'Operating Working Capital'!L6-'Operating Working Capital'!M6</f>
        <v>83286.671603137569</v>
      </c>
    </row>
    <row r="21" spans="1:16" x14ac:dyDescent="0.25">
      <c r="A21" t="s">
        <v>246</v>
      </c>
      <c r="B21" s="7"/>
      <c r="C21" s="57" t="s">
        <v>146</v>
      </c>
      <c r="D21" s="57"/>
      <c r="E21" s="4"/>
      <c r="F21" s="9">
        <v>-325885</v>
      </c>
      <c r="G21" s="9">
        <v>162033</v>
      </c>
      <c r="H21" s="9">
        <v>-271938</v>
      </c>
      <c r="I21" s="22"/>
      <c r="J21" s="61">
        <f>'Operating Working Capital'!H10-'Operating Working Capital'!J10</f>
        <v>131092.00000000023</v>
      </c>
      <c r="K21" s="61">
        <f>'Operating Working Capital'!J10-'Operating Working Capital'!K10</f>
        <v>-290781.04982187343</v>
      </c>
      <c r="L21" s="61">
        <f>'Operating Working Capital'!K10-'Operating Working Capital'!L10</f>
        <v>-786797.41154241608</v>
      </c>
      <c r="M21" s="61">
        <f>'Operating Working Capital'!L10-'Operating Working Capital'!M10</f>
        <v>827859.92862690007</v>
      </c>
    </row>
    <row r="22" spans="1:16" x14ac:dyDescent="0.25">
      <c r="A22" t="s">
        <v>246</v>
      </c>
      <c r="B22" s="7"/>
      <c r="C22" s="57" t="s">
        <v>147</v>
      </c>
      <c r="D22" s="57"/>
      <c r="E22" s="4"/>
      <c r="F22" s="9">
        <v>5305941</v>
      </c>
      <c r="G22" s="9">
        <v>-1918282</v>
      </c>
      <c r="H22" s="9">
        <v>4620498</v>
      </c>
      <c r="I22" s="22"/>
      <c r="J22" s="61">
        <f>'Operating Working Capital'!J14-'Operating Working Capital'!H14</f>
        <v>-335937.55555555597</v>
      </c>
      <c r="K22" s="61">
        <f>'Operating Working Capital'!K14-'Operating Working Capital'!J14</f>
        <v>3369364.0162681043</v>
      </c>
      <c r="L22" s="61">
        <f>'Operating Working Capital'!L14-'Operating Working Capital'!K14</f>
        <v>4283382.5434079506</v>
      </c>
      <c r="M22" s="61">
        <f>'Operating Working Capital'!M14-'Operating Working Capital'!L14</f>
        <v>-9805711.9047988653</v>
      </c>
    </row>
    <row r="23" spans="1:16" x14ac:dyDescent="0.25">
      <c r="A23" t="s">
        <v>246</v>
      </c>
      <c r="B23" s="7"/>
      <c r="C23" s="57" t="s">
        <v>148</v>
      </c>
      <c r="D23" s="57"/>
      <c r="E23" s="4"/>
      <c r="F23" s="9">
        <v>-417</v>
      </c>
      <c r="G23" s="9">
        <v>-2226</v>
      </c>
      <c r="H23" s="9">
        <v>-5826</v>
      </c>
      <c r="I23" s="22"/>
      <c r="J23" s="9">
        <v>0</v>
      </c>
      <c r="K23" s="9">
        <v>0</v>
      </c>
      <c r="L23" s="9">
        <v>0</v>
      </c>
      <c r="M23" s="87">
        <v>0</v>
      </c>
      <c r="P23" t="s">
        <v>152</v>
      </c>
    </row>
    <row r="24" spans="1:16" x14ac:dyDescent="0.25">
      <c r="A24" t="s">
        <v>246</v>
      </c>
      <c r="B24" s="7"/>
      <c r="C24" s="57" t="s">
        <v>149</v>
      </c>
      <c r="D24" s="57"/>
      <c r="E24" s="4"/>
      <c r="F24" s="9">
        <v>96175</v>
      </c>
      <c r="G24" s="9">
        <v>7858</v>
      </c>
      <c r="H24" s="9">
        <v>29687</v>
      </c>
      <c r="I24" s="22"/>
      <c r="J24" s="9">
        <v>0</v>
      </c>
      <c r="K24" s="9">
        <v>0</v>
      </c>
      <c r="L24" s="9">
        <v>0</v>
      </c>
      <c r="M24" s="87">
        <v>0</v>
      </c>
      <c r="P24" t="s">
        <v>152</v>
      </c>
    </row>
    <row r="25" spans="1:16" ht="15.75" thickBot="1" x14ac:dyDescent="0.3">
      <c r="A25" s="159"/>
      <c r="B25" s="7"/>
      <c r="C25" s="4" t="s">
        <v>80</v>
      </c>
      <c r="D25" s="4"/>
      <c r="E25" s="4"/>
      <c r="F25" s="22">
        <f>F17+SUM(F20:F24)</f>
        <v>18737538</v>
      </c>
      <c r="G25" s="22">
        <f>G17+SUM(G20:G24)</f>
        <v>14051765</v>
      </c>
      <c r="H25" s="22">
        <f>H17+SUM(H20:H24)</f>
        <v>19702265</v>
      </c>
      <c r="I25" s="9"/>
      <c r="J25" s="85">
        <f ca="1">J17+SUM(J20:J24)</f>
        <v>-1240747.9420945162</v>
      </c>
      <c r="K25" s="85">
        <f ca="1">K17+SUM(K20:K24)</f>
        <v>1963178.1649490152</v>
      </c>
      <c r="L25" s="85">
        <f ca="1">L17+SUM(L20:L24)</f>
        <v>8439656.7348251548</v>
      </c>
      <c r="M25" s="88">
        <f ca="1">M17+SUM(M20:M24)</f>
        <v>7044693.4862881433</v>
      </c>
    </row>
    <row r="26" spans="1:16" ht="15.75" thickTop="1" x14ac:dyDescent="0.25">
      <c r="B26" s="7"/>
      <c r="C26" s="4"/>
      <c r="D26" s="4"/>
      <c r="E26" s="4"/>
      <c r="F26" s="9"/>
      <c r="G26" s="9"/>
      <c r="H26" s="9"/>
      <c r="I26" s="9"/>
      <c r="J26" s="4"/>
      <c r="K26" s="4"/>
      <c r="L26" s="4"/>
      <c r="M26" s="8"/>
    </row>
    <row r="27" spans="1:16" x14ac:dyDescent="0.25">
      <c r="A27" t="s">
        <v>246</v>
      </c>
      <c r="B27" s="7"/>
      <c r="C27" s="4" t="s">
        <v>81</v>
      </c>
      <c r="D27" s="4"/>
      <c r="E27" s="4"/>
      <c r="F27" s="9">
        <v>-35121</v>
      </c>
      <c r="G27" s="9">
        <v>-55565</v>
      </c>
      <c r="H27" s="9">
        <v>-25058</v>
      </c>
      <c r="I27" s="9"/>
      <c r="J27" s="9">
        <v>0</v>
      </c>
      <c r="K27" s="9">
        <v>0</v>
      </c>
      <c r="L27" s="9">
        <v>0</v>
      </c>
      <c r="M27" s="87">
        <v>0</v>
      </c>
      <c r="O27" t="s">
        <v>70</v>
      </c>
      <c r="P27" t="s">
        <v>163</v>
      </c>
    </row>
    <row r="28" spans="1:16" x14ac:dyDescent="0.25">
      <c r="A28" t="s">
        <v>246</v>
      </c>
      <c r="B28" s="7"/>
      <c r="C28" s="4" t="s">
        <v>82</v>
      </c>
      <c r="D28" s="4"/>
      <c r="E28" s="4"/>
      <c r="F28" s="9">
        <v>-59259</v>
      </c>
      <c r="G28" s="9">
        <v>-72575</v>
      </c>
      <c r="H28" s="9">
        <v>-115646</v>
      </c>
      <c r="I28" s="9"/>
      <c r="J28" s="9">
        <f>-'Income Statement'!K36</f>
        <v>-146119.38390006669</v>
      </c>
      <c r="K28" s="9">
        <f>-'Income Statement'!L36</f>
        <v>-257256.87108837857</v>
      </c>
      <c r="L28" s="9">
        <f>-'Income Statement'!M36</f>
        <v>-200915.13136972912</v>
      </c>
      <c r="M28" s="9">
        <f>-'Income Statement'!N36</f>
        <v>-245503.52611417725</v>
      </c>
      <c r="O28" t="s">
        <v>70</v>
      </c>
      <c r="P28" t="s">
        <v>163</v>
      </c>
    </row>
    <row r="29" spans="1:16" x14ac:dyDescent="0.25">
      <c r="A29" t="s">
        <v>246</v>
      </c>
      <c r="B29" s="7"/>
      <c r="C29" s="4" t="s">
        <v>83</v>
      </c>
      <c r="D29" s="4"/>
      <c r="E29" s="4"/>
      <c r="F29" s="9">
        <v>-123438</v>
      </c>
      <c r="G29" s="9">
        <v>-139910</v>
      </c>
      <c r="H29" s="9">
        <v>-119292</v>
      </c>
      <c r="I29" s="9"/>
      <c r="J29" s="119">
        <f>-'Debt Schedule'!I29</f>
        <v>-167867.25</v>
      </c>
      <c r="K29" s="119">
        <f>-'Debt Schedule'!J29</f>
        <v>-268116.52500000002</v>
      </c>
      <c r="L29" s="119">
        <f>-'Debt Schedule'!K29</f>
        <v>-198072.57500000001</v>
      </c>
      <c r="M29" s="119">
        <f>-'Debt Schedule'!L29</f>
        <v>-93437.450000000012</v>
      </c>
      <c r="O29" t="s">
        <v>70</v>
      </c>
    </row>
    <row r="30" spans="1:16" ht="15.75" thickBot="1" x14ac:dyDescent="0.3">
      <c r="A30" s="159"/>
      <c r="B30" s="7"/>
      <c r="C30" s="4" t="s">
        <v>84</v>
      </c>
      <c r="D30" s="4"/>
      <c r="E30" s="4"/>
      <c r="F30" s="26">
        <f>SUM(F25:F29)</f>
        <v>18519720</v>
      </c>
      <c r="G30" s="26">
        <f>SUM(G25:G29)</f>
        <v>13783715</v>
      </c>
      <c r="H30" s="26">
        <f>SUM(H25:H29)</f>
        <v>19442269</v>
      </c>
      <c r="I30" s="9"/>
      <c r="J30" s="89">
        <f ca="1">SUM(J25:J29)</f>
        <v>-1554734.5759945828</v>
      </c>
      <c r="K30" s="153">
        <f t="shared" ref="K30:M30" ca="1" si="1">SUM(K25:K29)</f>
        <v>1437804.7688606367</v>
      </c>
      <c r="L30" s="89">
        <f t="shared" ca="1" si="1"/>
        <v>8040669.0284554251</v>
      </c>
      <c r="M30" s="132">
        <f t="shared" ca="1" si="1"/>
        <v>6705752.5101739662</v>
      </c>
    </row>
    <row r="31" spans="1:16" x14ac:dyDescent="0.25">
      <c r="B31" s="7"/>
      <c r="C31" s="4"/>
      <c r="D31" s="4"/>
      <c r="E31" s="4"/>
      <c r="F31" s="4"/>
      <c r="G31" s="4"/>
      <c r="H31" s="4"/>
      <c r="I31" s="9"/>
      <c r="J31" s="4"/>
      <c r="K31" s="4"/>
      <c r="L31" s="4"/>
      <c r="M31" s="8"/>
    </row>
    <row r="32" spans="1:16" x14ac:dyDescent="0.25">
      <c r="B32" s="78" t="s">
        <v>85</v>
      </c>
      <c r="C32" s="4"/>
      <c r="D32" s="4"/>
      <c r="E32" s="4"/>
      <c r="F32" s="4"/>
      <c r="G32" s="4"/>
      <c r="H32" s="4"/>
      <c r="I32" s="9"/>
      <c r="J32" s="4"/>
      <c r="K32" s="4"/>
      <c r="L32" s="4"/>
      <c r="M32" s="8"/>
    </row>
    <row r="33" spans="1:16" x14ac:dyDescent="0.25">
      <c r="A33" t="s">
        <v>246</v>
      </c>
      <c r="B33" s="7"/>
      <c r="C33" s="4" t="s">
        <v>86</v>
      </c>
      <c r="D33" s="4"/>
      <c r="E33" s="4"/>
      <c r="F33" s="9">
        <v>-2008270</v>
      </c>
      <c r="G33" s="9">
        <v>-3008737</v>
      </c>
      <c r="H33" s="9">
        <v>-4118390</v>
      </c>
      <c r="I33" s="9">
        <v>-2506168</v>
      </c>
      <c r="J33" s="119">
        <f>Depreciation!H6</f>
        <v>-4000000</v>
      </c>
      <c r="K33" s="119">
        <f>Depreciation!I6</f>
        <v>-4000000</v>
      </c>
      <c r="L33" s="119">
        <f>Depreciation!J6</f>
        <v>-4000000</v>
      </c>
      <c r="M33" s="139">
        <f>Depreciation!K6</f>
        <v>-4000000</v>
      </c>
    </row>
    <row r="34" spans="1:16" x14ac:dyDescent="0.25">
      <c r="A34" t="s">
        <v>246</v>
      </c>
      <c r="B34" s="7"/>
      <c r="C34" s="4" t="s">
        <v>112</v>
      </c>
      <c r="D34" s="4"/>
      <c r="E34" s="4"/>
      <c r="F34" s="28">
        <v>-221</v>
      </c>
      <c r="G34" s="9">
        <v>0</v>
      </c>
      <c r="H34" s="9">
        <v>0</v>
      </c>
      <c r="I34" s="9">
        <v>0</v>
      </c>
      <c r="J34" s="135">
        <v>0</v>
      </c>
      <c r="K34" s="135">
        <v>0</v>
      </c>
      <c r="L34" s="135">
        <v>0</v>
      </c>
      <c r="M34" s="136">
        <v>0</v>
      </c>
      <c r="P34" t="s">
        <v>152</v>
      </c>
    </row>
    <row r="35" spans="1:16" x14ac:dyDescent="0.25">
      <c r="A35" t="s">
        <v>246</v>
      </c>
      <c r="B35" s="7"/>
      <c r="C35" s="4" t="s">
        <v>87</v>
      </c>
      <c r="D35" s="4"/>
      <c r="E35" s="4"/>
      <c r="F35" s="9">
        <v>-13506</v>
      </c>
      <c r="G35" s="9">
        <v>-24309</v>
      </c>
      <c r="H35" s="9">
        <v>-53268</v>
      </c>
      <c r="I35" s="9">
        <v>-17899</v>
      </c>
      <c r="J35" s="135">
        <v>0</v>
      </c>
      <c r="K35" s="135">
        <v>0</v>
      </c>
      <c r="L35" s="135">
        <v>0</v>
      </c>
      <c r="M35" s="136">
        <v>0</v>
      </c>
      <c r="P35" t="s">
        <v>152</v>
      </c>
    </row>
    <row r="36" spans="1:16" x14ac:dyDescent="0.25">
      <c r="A36" t="s">
        <v>246</v>
      </c>
      <c r="B36" s="7"/>
      <c r="C36" s="4" t="s">
        <v>88</v>
      </c>
      <c r="D36" s="4"/>
      <c r="E36" s="4"/>
      <c r="F36" s="9">
        <v>9668</v>
      </c>
      <c r="G36" s="9">
        <v>50902</v>
      </c>
      <c r="H36" s="9">
        <v>2483</v>
      </c>
      <c r="I36" s="9">
        <v>3413</v>
      </c>
      <c r="J36" s="135">
        <v>0</v>
      </c>
      <c r="K36" s="135">
        <v>0</v>
      </c>
      <c r="L36" s="135">
        <v>0</v>
      </c>
      <c r="M36" s="136">
        <v>0</v>
      </c>
      <c r="P36" t="s">
        <v>152</v>
      </c>
    </row>
    <row r="37" spans="1:16" x14ac:dyDescent="0.25">
      <c r="A37" t="s">
        <v>246</v>
      </c>
      <c r="B37" s="7"/>
      <c r="C37" s="4" t="s">
        <v>89</v>
      </c>
      <c r="D37" s="4"/>
      <c r="E37" s="4"/>
      <c r="F37" s="9">
        <v>40662</v>
      </c>
      <c r="G37" s="9">
        <v>15848</v>
      </c>
      <c r="H37" s="9">
        <v>-24497</v>
      </c>
      <c r="I37" s="9">
        <v>-21669</v>
      </c>
      <c r="J37" s="135">
        <v>0</v>
      </c>
      <c r="K37" s="135">
        <v>0</v>
      </c>
      <c r="L37" s="135">
        <v>0</v>
      </c>
      <c r="M37" s="136">
        <v>0</v>
      </c>
      <c r="P37" t="s">
        <v>152</v>
      </c>
    </row>
    <row r="38" spans="1:16" x14ac:dyDescent="0.25">
      <c r="A38" t="s">
        <v>246</v>
      </c>
      <c r="B38" s="7"/>
      <c r="C38" s="4" t="s">
        <v>117</v>
      </c>
      <c r="D38" s="4"/>
      <c r="E38" s="4"/>
      <c r="F38" s="9">
        <v>0</v>
      </c>
      <c r="G38" s="9">
        <v>0</v>
      </c>
      <c r="H38" s="9">
        <v>0</v>
      </c>
      <c r="I38" s="9">
        <v>-1248</v>
      </c>
      <c r="J38" s="135">
        <v>0</v>
      </c>
      <c r="K38" s="135">
        <v>0</v>
      </c>
      <c r="L38" s="135">
        <v>0</v>
      </c>
      <c r="M38" s="136">
        <v>0</v>
      </c>
      <c r="P38" t="s">
        <v>152</v>
      </c>
    </row>
    <row r="39" spans="1:16" x14ac:dyDescent="0.25">
      <c r="A39" t="s">
        <v>249</v>
      </c>
      <c r="B39" s="7"/>
      <c r="C39" s="4" t="s">
        <v>90</v>
      </c>
      <c r="D39" s="4"/>
      <c r="E39" s="4"/>
      <c r="F39" s="9">
        <v>18675</v>
      </c>
      <c r="G39" s="9">
        <v>-4400</v>
      </c>
      <c r="H39" s="9">
        <v>2492</v>
      </c>
      <c r="I39" s="9">
        <v>2019</v>
      </c>
      <c r="J39" s="135">
        <v>0</v>
      </c>
      <c r="K39" s="135">
        <v>0</v>
      </c>
      <c r="L39" s="135">
        <v>0</v>
      </c>
      <c r="M39" s="136">
        <v>0</v>
      </c>
      <c r="P39" t="s">
        <v>152</v>
      </c>
    </row>
    <row r="40" spans="1:16" x14ac:dyDescent="0.25">
      <c r="A40" t="s">
        <v>248</v>
      </c>
      <c r="B40" s="7"/>
      <c r="C40" s="4" t="s">
        <v>91</v>
      </c>
      <c r="D40" s="4"/>
      <c r="E40" s="4"/>
      <c r="F40" s="9">
        <v>7888</v>
      </c>
      <c r="G40" s="9">
        <v>-4081</v>
      </c>
      <c r="H40" s="9">
        <v>25099</v>
      </c>
      <c r="I40" s="9">
        <v>9431</v>
      </c>
      <c r="J40" s="135">
        <v>0</v>
      </c>
      <c r="K40" s="135">
        <v>0</v>
      </c>
      <c r="L40" s="135">
        <v>0</v>
      </c>
      <c r="M40" s="136">
        <v>0</v>
      </c>
      <c r="P40" t="s">
        <v>152</v>
      </c>
    </row>
    <row r="41" spans="1:16" x14ac:dyDescent="0.25">
      <c r="A41" t="s">
        <v>246</v>
      </c>
      <c r="B41" s="7"/>
      <c r="C41" s="4" t="s">
        <v>92</v>
      </c>
      <c r="D41" s="4"/>
      <c r="E41" s="4"/>
      <c r="F41" s="9">
        <v>-23481720</v>
      </c>
      <c r="G41" s="9">
        <v>-11001458</v>
      </c>
      <c r="H41" s="9">
        <v>-2951404</v>
      </c>
      <c r="I41" s="9">
        <v>-990517</v>
      </c>
      <c r="J41" s="135">
        <v>0</v>
      </c>
      <c r="K41" s="135">
        <v>0</v>
      </c>
      <c r="L41" s="135">
        <v>0</v>
      </c>
      <c r="M41" s="136">
        <v>0</v>
      </c>
      <c r="P41" t="s">
        <v>152</v>
      </c>
    </row>
    <row r="42" spans="1:16" x14ac:dyDescent="0.25">
      <c r="A42" t="s">
        <v>246</v>
      </c>
      <c r="B42" s="7"/>
      <c r="C42" s="4" t="s">
        <v>93</v>
      </c>
      <c r="D42" s="4"/>
      <c r="E42" s="4"/>
      <c r="F42" s="9">
        <v>2409078</v>
      </c>
      <c r="G42" s="9">
        <v>362030</v>
      </c>
      <c r="H42" s="9">
        <v>2766000</v>
      </c>
      <c r="I42" s="9">
        <v>3110881</v>
      </c>
      <c r="J42" s="135">
        <v>0</v>
      </c>
      <c r="K42" s="135">
        <v>0</v>
      </c>
      <c r="L42" s="135">
        <v>0</v>
      </c>
      <c r="M42" s="136">
        <v>0</v>
      </c>
      <c r="P42" t="s">
        <v>152</v>
      </c>
    </row>
    <row r="43" spans="1:16" x14ac:dyDescent="0.25">
      <c r="A43" t="s">
        <v>246</v>
      </c>
      <c r="B43" s="7"/>
      <c r="C43" s="4" t="s">
        <v>94</v>
      </c>
      <c r="D43" s="4"/>
      <c r="E43" s="4"/>
      <c r="F43" s="9">
        <v>532610</v>
      </c>
      <c r="G43" s="9">
        <v>964551</v>
      </c>
      <c r="H43" s="9">
        <v>1189168</v>
      </c>
      <c r="I43" s="9">
        <v>542933</v>
      </c>
      <c r="J43" s="137">
        <f ca="1">'Debt Schedule'!I32</f>
        <v>96482.806730519529</v>
      </c>
      <c r="K43" s="137">
        <f ca="1">'Debt Schedule'!J32</f>
        <v>69928.701992437112</v>
      </c>
      <c r="L43" s="137">
        <f ca="1">'Debt Schedule'!K32</f>
        <v>48895.250113099086</v>
      </c>
      <c r="M43" s="140">
        <f ca="1">'Debt Schedule'!L32</f>
        <v>41782.960734174063</v>
      </c>
      <c r="O43" t="s">
        <v>70</v>
      </c>
    </row>
    <row r="44" spans="1:16" ht="30.75" thickBot="1" x14ac:dyDescent="0.3">
      <c r="A44" t="s">
        <v>246</v>
      </c>
      <c r="B44" s="7"/>
      <c r="D44" s="34" t="s">
        <v>245</v>
      </c>
      <c r="E44" s="4"/>
      <c r="F44" s="9">
        <v>11276573</v>
      </c>
      <c r="G44" s="9">
        <v>1155709</v>
      </c>
      <c r="H44" s="9">
        <v>-12142102</v>
      </c>
      <c r="I44" s="9">
        <v>3865068</v>
      </c>
      <c r="J44" s="173">
        <v>0</v>
      </c>
      <c r="K44" s="151">
        <v>0</v>
      </c>
      <c r="L44" s="151">
        <v>0</v>
      </c>
      <c r="M44" s="152">
        <v>0</v>
      </c>
      <c r="P44" s="128" t="s">
        <v>242</v>
      </c>
    </row>
    <row r="45" spans="1:16" ht="15.75" thickTop="1" x14ac:dyDescent="0.25">
      <c r="A45" t="s">
        <v>246</v>
      </c>
      <c r="B45" s="7"/>
      <c r="C45" s="4" t="s">
        <v>96</v>
      </c>
      <c r="D45" s="4"/>
      <c r="E45" s="4"/>
      <c r="F45" s="9">
        <v>89392</v>
      </c>
      <c r="G45" s="9">
        <v>186438</v>
      </c>
      <c r="H45" s="9">
        <v>300711</v>
      </c>
      <c r="I45" s="9">
        <v>277955</v>
      </c>
      <c r="J45" s="100">
        <v>200000</v>
      </c>
      <c r="K45" s="100">
        <v>200000</v>
      </c>
      <c r="L45" s="100">
        <v>200000</v>
      </c>
      <c r="M45" s="138">
        <v>200000</v>
      </c>
      <c r="P45" t="s">
        <v>221</v>
      </c>
    </row>
    <row r="46" spans="1:16" x14ac:dyDescent="0.25">
      <c r="A46" t="s">
        <v>246</v>
      </c>
      <c r="B46" s="7"/>
      <c r="C46" s="4" t="s">
        <v>97</v>
      </c>
      <c r="D46" s="4"/>
      <c r="E46" s="4"/>
      <c r="F46" s="9">
        <v>2650</v>
      </c>
      <c r="G46" s="9">
        <v>69130</v>
      </c>
      <c r="H46" s="9">
        <v>119053</v>
      </c>
      <c r="I46" s="9">
        <v>30725</v>
      </c>
      <c r="J46" s="120">
        <f>'Income Statement'!K18+'Income Statement'!K19</f>
        <v>0</v>
      </c>
      <c r="K46" s="120">
        <f>'Income Statement'!L18+'Income Statement'!L19</f>
        <v>0</v>
      </c>
      <c r="L46" s="120">
        <f>'Income Statement'!M18+'Income Statement'!M19</f>
        <v>0</v>
      </c>
      <c r="M46" s="150">
        <f>'Income Statement'!N18+'Income Statement'!N19</f>
        <v>0</v>
      </c>
      <c r="P46" t="s">
        <v>222</v>
      </c>
    </row>
    <row r="47" spans="1:16" ht="15.75" thickBot="1" x14ac:dyDescent="0.3">
      <c r="A47" s="159"/>
      <c r="B47" s="7"/>
      <c r="C47" s="4" t="s">
        <v>98</v>
      </c>
      <c r="D47" s="4"/>
      <c r="E47" s="4"/>
      <c r="F47" s="26">
        <f t="shared" ref="F47:K47" si="2">SUM(F33:F46)</f>
        <v>-11116521</v>
      </c>
      <c r="G47" s="26">
        <f t="shared" si="2"/>
        <v>-11238377</v>
      </c>
      <c r="H47" s="26">
        <f t="shared" si="2"/>
        <v>-14884655</v>
      </c>
      <c r="I47" s="26">
        <f t="shared" si="2"/>
        <v>4304924</v>
      </c>
      <c r="J47" s="89">
        <f ca="1">SUM(J33:J46)</f>
        <v>-3703517.1932694805</v>
      </c>
      <c r="K47" s="89">
        <f t="shared" ca="1" si="2"/>
        <v>-3730071.2980075628</v>
      </c>
      <c r="L47" s="89">
        <f t="shared" ref="L47:M47" ca="1" si="3">SUM(L33:L46)</f>
        <v>-3751104.7498869011</v>
      </c>
      <c r="M47" s="132">
        <f t="shared" ca="1" si="3"/>
        <v>-3758217.0392658259</v>
      </c>
    </row>
    <row r="48" spans="1:16" x14ac:dyDescent="0.25"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8"/>
    </row>
    <row r="49" spans="1:16" x14ac:dyDescent="0.25">
      <c r="B49" s="78" t="s">
        <v>99</v>
      </c>
      <c r="C49" s="4"/>
      <c r="D49" s="4"/>
      <c r="E49" s="4"/>
      <c r="F49" s="4"/>
      <c r="G49" s="4"/>
      <c r="H49" s="4"/>
      <c r="I49" s="9"/>
      <c r="J49" s="4"/>
      <c r="K49" s="4"/>
      <c r="L49" s="4"/>
      <c r="M49" s="8"/>
    </row>
    <row r="50" spans="1:16" x14ac:dyDescent="0.25">
      <c r="A50" t="s">
        <v>252</v>
      </c>
      <c r="B50" s="7"/>
      <c r="C50" s="4" t="s">
        <v>100</v>
      </c>
      <c r="D50" s="4"/>
      <c r="E50" s="4"/>
      <c r="F50" s="9">
        <v>348459</v>
      </c>
      <c r="G50" s="9">
        <v>381552</v>
      </c>
      <c r="H50" s="9">
        <v>264110</v>
      </c>
      <c r="I50" s="9">
        <v>62683</v>
      </c>
      <c r="J50" s="135">
        <v>0</v>
      </c>
      <c r="K50" s="135">
        <v>0</v>
      </c>
      <c r="L50" s="135">
        <v>0</v>
      </c>
      <c r="M50" s="136">
        <v>0</v>
      </c>
      <c r="P50" t="s">
        <v>152</v>
      </c>
    </row>
    <row r="51" spans="1:16" x14ac:dyDescent="0.25">
      <c r="A51" t="s">
        <v>252</v>
      </c>
      <c r="B51" s="7"/>
      <c r="C51" s="4" t="s">
        <v>101</v>
      </c>
      <c r="D51" s="4"/>
      <c r="E51" s="4"/>
      <c r="F51" s="9">
        <v>-18408</v>
      </c>
      <c r="G51" s="9">
        <v>-23118</v>
      </c>
      <c r="H51" s="9">
        <v>-39589</v>
      </c>
      <c r="I51" s="9">
        <v>0</v>
      </c>
      <c r="J51" s="135">
        <v>0</v>
      </c>
      <c r="K51" s="135">
        <v>0</v>
      </c>
      <c r="L51" s="135">
        <v>0</v>
      </c>
      <c r="M51" s="136">
        <v>0</v>
      </c>
      <c r="P51" t="s">
        <v>152</v>
      </c>
    </row>
    <row r="52" spans="1:16" x14ac:dyDescent="0.25">
      <c r="A52" t="s">
        <v>246</v>
      </c>
      <c r="B52" s="7"/>
      <c r="C52" s="4" t="s">
        <v>102</v>
      </c>
      <c r="D52" s="4"/>
      <c r="E52" s="4"/>
      <c r="F52" s="9">
        <v>8327254</v>
      </c>
      <c r="G52" s="9">
        <v>7764377</v>
      </c>
      <c r="H52" s="9">
        <v>1500000</v>
      </c>
      <c r="I52" s="9">
        <v>7185405</v>
      </c>
      <c r="J52" s="160">
        <f>'Debt Schedule'!I14</f>
        <v>7185405</v>
      </c>
      <c r="K52" s="137">
        <f>'Debt Schedule'!J14</f>
        <v>3000000</v>
      </c>
      <c r="L52" s="137">
        <f>'Debt Schedule'!K14</f>
        <v>6000000</v>
      </c>
      <c r="M52" s="140">
        <f>'Debt Schedule'!L14</f>
        <v>0</v>
      </c>
    </row>
    <row r="53" spans="1:16" x14ac:dyDescent="0.25">
      <c r="A53" t="s">
        <v>246</v>
      </c>
      <c r="B53" s="7"/>
      <c r="C53" s="4" t="s">
        <v>103</v>
      </c>
      <c r="D53" s="4"/>
      <c r="E53" s="4"/>
      <c r="F53" s="9">
        <v>-4612571</v>
      </c>
      <c r="G53" s="9">
        <v>-8628123</v>
      </c>
      <c r="H53" s="9">
        <v>-9764082</v>
      </c>
      <c r="I53" s="9">
        <v>-1559081</v>
      </c>
      <c r="J53" s="160">
        <f>'Debt Schedule'!I13</f>
        <v>-1559081</v>
      </c>
      <c r="K53" s="137">
        <f>'Debt Schedule'!J13</f>
        <v>-4616353</v>
      </c>
      <c r="L53" s="137">
        <f>'Debt Schedule'!K13</f>
        <v>-7185405</v>
      </c>
      <c r="M53" s="140">
        <f>'Debt Schedule'!L13</f>
        <v>-3000000</v>
      </c>
    </row>
    <row r="54" spans="1:16" x14ac:dyDescent="0.25">
      <c r="A54" t="s">
        <v>246</v>
      </c>
      <c r="B54" s="7"/>
      <c r="C54" s="4" t="s">
        <v>104</v>
      </c>
      <c r="D54" s="4"/>
      <c r="E54" s="4"/>
      <c r="F54" s="9">
        <v>-16002</v>
      </c>
      <c r="G54" s="28">
        <v>0</v>
      </c>
      <c r="H54" s="9">
        <v>-42511</v>
      </c>
      <c r="I54" s="9">
        <v>-24194</v>
      </c>
      <c r="J54" s="135">
        <v>0</v>
      </c>
      <c r="K54" s="135">
        <v>0</v>
      </c>
      <c r="L54" s="135">
        <v>0</v>
      </c>
      <c r="M54" s="136">
        <v>0</v>
      </c>
      <c r="P54" t="s">
        <v>152</v>
      </c>
    </row>
    <row r="55" spans="1:16" x14ac:dyDescent="0.25">
      <c r="A55" t="s">
        <v>246</v>
      </c>
      <c r="B55" s="7"/>
      <c r="C55" s="4" t="s">
        <v>105</v>
      </c>
      <c r="D55" s="4"/>
      <c r="E55" s="4"/>
      <c r="F55" s="28">
        <v>0</v>
      </c>
      <c r="G55" s="28">
        <v>0</v>
      </c>
      <c r="H55" s="9">
        <v>3350</v>
      </c>
      <c r="I55" s="28">
        <v>0</v>
      </c>
      <c r="J55" s="135">
        <v>0</v>
      </c>
      <c r="K55" s="135">
        <v>0</v>
      </c>
      <c r="L55" s="135">
        <v>0</v>
      </c>
      <c r="M55" s="136">
        <v>0</v>
      </c>
      <c r="P55" t="s">
        <v>152</v>
      </c>
    </row>
    <row r="56" spans="1:16" x14ac:dyDescent="0.25">
      <c r="A56" t="s">
        <v>246</v>
      </c>
      <c r="B56" s="7"/>
      <c r="C56" s="4" t="s">
        <v>106</v>
      </c>
      <c r="D56" s="4"/>
      <c r="E56" s="4"/>
      <c r="F56" s="9">
        <v>-22749</v>
      </c>
      <c r="G56" s="9">
        <v>-26425</v>
      </c>
      <c r="H56" s="9">
        <v>-66153</v>
      </c>
      <c r="I56" s="9">
        <v>-5000</v>
      </c>
      <c r="J56" s="135">
        <v>0</v>
      </c>
      <c r="K56" s="135">
        <v>0</v>
      </c>
      <c r="L56" s="135">
        <v>0</v>
      </c>
      <c r="M56" s="136">
        <v>0</v>
      </c>
      <c r="O56" t="s">
        <v>70</v>
      </c>
      <c r="P56" t="s">
        <v>152</v>
      </c>
    </row>
    <row r="57" spans="1:16" x14ac:dyDescent="0.25">
      <c r="A57" t="s">
        <v>246</v>
      </c>
      <c r="B57" s="7"/>
      <c r="C57" s="4" t="s">
        <v>107</v>
      </c>
      <c r="D57" s="4"/>
      <c r="E57" s="4"/>
      <c r="F57" s="9">
        <v>-2525589</v>
      </c>
      <c r="G57" s="9">
        <v>-3929932</v>
      </c>
      <c r="H57" s="9">
        <v>-3940159</v>
      </c>
      <c r="I57" s="9">
        <v>-1950596</v>
      </c>
      <c r="J57" s="135">
        <v>0</v>
      </c>
      <c r="K57" s="135">
        <v>0</v>
      </c>
      <c r="L57" s="119">
        <v>-2000000</v>
      </c>
      <c r="M57" s="139">
        <v>-2000000</v>
      </c>
      <c r="O57" t="s">
        <v>70</v>
      </c>
      <c r="P57" t="s">
        <v>223</v>
      </c>
    </row>
    <row r="58" spans="1:16" ht="15.75" thickBot="1" x14ac:dyDescent="0.3">
      <c r="A58" s="159"/>
      <c r="B58" s="7"/>
      <c r="C58" s="4" t="s">
        <v>247</v>
      </c>
      <c r="D58" s="4"/>
      <c r="E58" s="4"/>
      <c r="F58" s="26">
        <f t="shared" ref="F58:K58" si="4">SUM(F50:F57)</f>
        <v>1480394</v>
      </c>
      <c r="G58" s="26">
        <f t="shared" si="4"/>
        <v>-4461669</v>
      </c>
      <c r="H58" s="26">
        <f t="shared" si="4"/>
        <v>-12085034</v>
      </c>
      <c r="I58" s="26">
        <f t="shared" si="4"/>
        <v>3709217</v>
      </c>
      <c r="J58" s="89">
        <f t="shared" si="4"/>
        <v>5626324</v>
      </c>
      <c r="K58" s="89">
        <f t="shared" si="4"/>
        <v>-1616353</v>
      </c>
      <c r="L58" s="89">
        <f t="shared" ref="L58:M58" si="5">SUM(L50:L57)</f>
        <v>-3185405</v>
      </c>
      <c r="M58" s="132">
        <f t="shared" si="5"/>
        <v>-5000000</v>
      </c>
    </row>
    <row r="59" spans="1:16" x14ac:dyDescent="0.25">
      <c r="B59" s="7"/>
      <c r="C59" s="4"/>
      <c r="D59" s="4"/>
      <c r="E59" s="4"/>
      <c r="F59" s="4"/>
      <c r="G59" s="4"/>
      <c r="H59" s="4"/>
      <c r="I59" s="9"/>
      <c r="J59" s="4"/>
      <c r="K59" s="4"/>
      <c r="L59" s="4"/>
      <c r="M59" s="8"/>
    </row>
    <row r="60" spans="1:16" x14ac:dyDescent="0.25">
      <c r="B60" s="78" t="s">
        <v>108</v>
      </c>
      <c r="C60" s="4"/>
      <c r="D60" s="4"/>
      <c r="E60" s="4"/>
      <c r="F60" s="26">
        <f>F30+F47+F58</f>
        <v>8883593</v>
      </c>
      <c r="G60" s="26">
        <f>G30+G47+G58</f>
        <v>-1916331</v>
      </c>
      <c r="H60" s="26">
        <f>H30+H47+H58</f>
        <v>-7527420</v>
      </c>
      <c r="I60" s="134"/>
      <c r="J60" s="26">
        <f ca="1">J30+J47+J58</f>
        <v>368072.23073593713</v>
      </c>
      <c r="K60" s="26">
        <f ca="1">K30+K47+K58</f>
        <v>-3908619.529146926</v>
      </c>
      <c r="L60" s="26">
        <f ca="1">L30+L47+L58</f>
        <v>1104159.2785685239</v>
      </c>
      <c r="M60" s="53">
        <f ca="1">M30+M47+M58</f>
        <v>-2052464.5290918597</v>
      </c>
    </row>
    <row r="61" spans="1:16" x14ac:dyDescent="0.25">
      <c r="B61" s="78" t="s">
        <v>109</v>
      </c>
      <c r="C61" s="4"/>
      <c r="D61" s="4"/>
      <c r="E61" s="4"/>
      <c r="F61" s="100">
        <v>6803466</v>
      </c>
      <c r="G61" s="35">
        <f>F64</f>
        <v>15702430</v>
      </c>
      <c r="H61" s="35">
        <f>G64</f>
        <v>13778102</v>
      </c>
      <c r="I61" s="141"/>
      <c r="J61" s="133">
        <f>H64</f>
        <v>6248151</v>
      </c>
      <c r="K61" s="133">
        <f ca="1">J64</f>
        <v>6542743.2307359371</v>
      </c>
      <c r="L61" s="133">
        <f ca="1">K64</f>
        <v>2603601.9515890111</v>
      </c>
      <c r="M61" s="143">
        <f t="shared" ref="M61" ca="1" si="6">L64</f>
        <v>3626781.2926575351</v>
      </c>
    </row>
    <row r="62" spans="1:16" x14ac:dyDescent="0.25">
      <c r="A62" s="128" t="s">
        <v>255</v>
      </c>
      <c r="B62" s="78" t="s">
        <v>110</v>
      </c>
      <c r="C62" s="4"/>
      <c r="D62" s="4"/>
      <c r="E62" s="4"/>
      <c r="F62" s="9">
        <v>15371</v>
      </c>
      <c r="G62" s="9">
        <v>-7997</v>
      </c>
      <c r="H62" s="9">
        <v>-2531</v>
      </c>
      <c r="I62" s="134"/>
      <c r="J62" s="100">
        <f>'Income Statement'!K44+'Income Statement'!K45</f>
        <v>-73480</v>
      </c>
      <c r="K62" s="100">
        <f>'Income Statement'!L44+'Income Statement'!L45</f>
        <v>-30521.75</v>
      </c>
      <c r="L62" s="100">
        <f>'Income Statement'!M44+'Income Statement'!M45</f>
        <v>-80979.9375</v>
      </c>
      <c r="M62" s="100">
        <f>'Income Statement'!N44+'Income Statement'!N45</f>
        <v>-63615.421875</v>
      </c>
      <c r="P62" t="s">
        <v>152</v>
      </c>
    </row>
    <row r="63" spans="1:16" x14ac:dyDescent="0.25">
      <c r="B63" s="7"/>
      <c r="C63" s="4"/>
      <c r="D63" s="4"/>
      <c r="E63" s="4"/>
      <c r="F63" s="4"/>
      <c r="G63" s="4"/>
      <c r="H63" s="4"/>
      <c r="I63" s="142"/>
      <c r="J63" s="4"/>
      <c r="K63" s="4"/>
      <c r="L63" s="4"/>
      <c r="M63" s="8"/>
    </row>
    <row r="64" spans="1:16" x14ac:dyDescent="0.25">
      <c r="B64" s="78" t="s">
        <v>111</v>
      </c>
      <c r="C64" s="4"/>
      <c r="D64" s="4"/>
      <c r="E64" s="4"/>
      <c r="F64" s="26">
        <f>F60+F61+F62</f>
        <v>15702430</v>
      </c>
      <c r="G64" s="26">
        <f t="shared" ref="G64" si="7">G60+G61+G62</f>
        <v>13778102</v>
      </c>
      <c r="H64" s="26">
        <f>H60+H61+H62</f>
        <v>6248151</v>
      </c>
      <c r="I64" s="134"/>
      <c r="J64" s="26">
        <f ca="1">J60+J61+J62</f>
        <v>6542743.2307359371</v>
      </c>
      <c r="K64" s="26">
        <f ca="1">K60+K61+K62</f>
        <v>2603601.9515890111</v>
      </c>
      <c r="L64" s="26">
        <f ca="1">L60+L61+L62</f>
        <v>3626781.2926575351</v>
      </c>
      <c r="M64" s="53">
        <f ca="1">M60+M61+M62</f>
        <v>1510701.3416906754</v>
      </c>
    </row>
    <row r="65" spans="2:13" x14ac:dyDescent="0.25">
      <c r="B65" s="30"/>
      <c r="C65" s="31" t="s">
        <v>226</v>
      </c>
      <c r="D65" s="31"/>
      <c r="E65" s="31"/>
      <c r="F65" s="31"/>
      <c r="G65" s="31"/>
      <c r="H65" s="31"/>
      <c r="I65" s="36"/>
      <c r="J65" s="31"/>
      <c r="K65" s="31"/>
      <c r="L65" s="31"/>
      <c r="M65" s="33"/>
    </row>
    <row r="66" spans="2:13" x14ac:dyDescent="0.25">
      <c r="I66" s="24"/>
    </row>
    <row r="67" spans="2:13" x14ac:dyDescent="0.25">
      <c r="B67" s="1" t="s">
        <v>243</v>
      </c>
      <c r="C67" s="2"/>
      <c r="D67" s="2"/>
      <c r="E67" s="2"/>
      <c r="F67" s="2"/>
      <c r="G67" s="2"/>
      <c r="H67" s="2"/>
      <c r="I67" s="154"/>
      <c r="J67" s="2"/>
      <c r="K67" s="2"/>
      <c r="L67" s="2"/>
      <c r="M67" s="96"/>
    </row>
    <row r="68" spans="2:13" x14ac:dyDescent="0.25">
      <c r="B68" s="30"/>
      <c r="C68" s="31" t="s">
        <v>183</v>
      </c>
      <c r="D68" s="31"/>
      <c r="E68" s="31"/>
      <c r="F68" s="31"/>
      <c r="G68" s="31"/>
      <c r="H68" s="31"/>
      <c r="I68" s="31"/>
      <c r="J68" s="32">
        <f ca="1">J30+J47+SUM(J50:J51)+SUM(J54:J57)</f>
        <v>-5258251.7692640629</v>
      </c>
      <c r="K68" s="32">
        <f t="shared" ref="K68:M68" ca="1" si="8">K30+K47+SUM(K50:K51)+SUM(K54:K57)</f>
        <v>-2292266.529146926</v>
      </c>
      <c r="L68" s="32">
        <f t="shared" ca="1" si="8"/>
        <v>2289564.2785685239</v>
      </c>
      <c r="M68" s="32">
        <f t="shared" ca="1" si="8"/>
        <v>947535.4709081403</v>
      </c>
    </row>
    <row r="69" spans="2:13" x14ac:dyDescent="0.25">
      <c r="I69" s="24"/>
    </row>
    <row r="70" spans="2:13" x14ac:dyDescent="0.25">
      <c r="I70" s="23"/>
    </row>
  </sheetData>
  <mergeCells count="2">
    <mergeCell ref="F2:H2"/>
    <mergeCell ref="J2:M2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2"/>
  <sheetViews>
    <sheetView workbookViewId="0">
      <selection activeCell="B2" sqref="B2"/>
    </sheetView>
  </sheetViews>
  <sheetFormatPr defaultRowHeight="15" x14ac:dyDescent="0.25"/>
  <cols>
    <col min="2" max="2" width="3.7109375" customWidth="1"/>
    <col min="3" max="3" width="3.140625" customWidth="1"/>
    <col min="4" max="4" width="34.42578125" customWidth="1"/>
    <col min="5" max="5" width="8" bestFit="1" customWidth="1"/>
    <col min="6" max="8" width="10.85546875" bestFit="1" customWidth="1"/>
    <col min="9" max="9" width="10.140625" customWidth="1"/>
    <col min="10" max="10" width="14.28515625" bestFit="1" customWidth="1"/>
    <col min="11" max="13" width="11.5703125" bestFit="1" customWidth="1"/>
  </cols>
  <sheetData>
    <row r="2" spans="2:15" x14ac:dyDescent="0.25">
      <c r="B2" s="1"/>
      <c r="C2" s="2"/>
      <c r="D2" s="2"/>
      <c r="E2" s="2"/>
      <c r="F2" s="240" t="s">
        <v>1</v>
      </c>
      <c r="G2" s="240"/>
      <c r="H2" s="240"/>
      <c r="I2" s="240"/>
      <c r="J2" s="241" t="s">
        <v>161</v>
      </c>
      <c r="K2" s="241"/>
      <c r="L2" s="241"/>
      <c r="M2" s="242"/>
    </row>
    <row r="3" spans="2:15" ht="15.75" thickBot="1" x14ac:dyDescent="0.3">
      <c r="B3" s="7"/>
      <c r="C3" s="4"/>
      <c r="D3" s="4"/>
      <c r="E3" s="4"/>
      <c r="F3" s="5" t="s">
        <v>4</v>
      </c>
      <c r="G3" s="5" t="s">
        <v>5</v>
      </c>
      <c r="H3" s="5" t="s">
        <v>11</v>
      </c>
      <c r="I3" s="5" t="s">
        <v>113</v>
      </c>
      <c r="J3" s="5" t="s">
        <v>6</v>
      </c>
      <c r="K3" s="5" t="s">
        <v>7</v>
      </c>
      <c r="L3" s="5" t="s">
        <v>8</v>
      </c>
      <c r="M3" s="6" t="s">
        <v>10</v>
      </c>
    </row>
    <row r="4" spans="2:15" x14ac:dyDescent="0.25">
      <c r="B4" s="7"/>
      <c r="C4" s="4"/>
      <c r="D4" s="4"/>
      <c r="E4" s="4" t="s">
        <v>9</v>
      </c>
      <c r="F4" s="21"/>
      <c r="G4" s="65"/>
      <c r="H4" s="65"/>
      <c r="I4" s="65"/>
      <c r="J4" s="65"/>
      <c r="K4" s="65"/>
      <c r="L4" s="65"/>
      <c r="M4" s="8"/>
    </row>
    <row r="5" spans="2:15" x14ac:dyDescent="0.25">
      <c r="B5" s="66" t="s">
        <v>153</v>
      </c>
      <c r="C5" s="57"/>
      <c r="D5" s="21"/>
      <c r="E5" s="21"/>
      <c r="F5" s="67"/>
      <c r="G5" s="67"/>
      <c r="H5" s="67"/>
      <c r="I5" s="67"/>
      <c r="J5" s="68"/>
      <c r="K5" s="68"/>
      <c r="L5" s="68"/>
      <c r="M5" s="8"/>
    </row>
    <row r="6" spans="2:15" x14ac:dyDescent="0.25">
      <c r="B6" s="69">
        <v>1</v>
      </c>
      <c r="C6" s="57" t="s">
        <v>50</v>
      </c>
      <c r="D6" s="21"/>
      <c r="E6" s="21"/>
      <c r="F6" s="63">
        <f>'Balance Sheet'!F19</f>
        <v>171443</v>
      </c>
      <c r="G6" s="64">
        <f>'Balance Sheet'!G19</f>
        <v>189799</v>
      </c>
      <c r="H6" s="64">
        <f>'Balance Sheet'!H19</f>
        <v>177834</v>
      </c>
      <c r="I6" s="64">
        <f>'Balance Sheet'!I19</f>
        <v>190837</v>
      </c>
      <c r="J6" s="70">
        <f>J7*-J18/360</f>
        <v>184335.50000000003</v>
      </c>
      <c r="K6" s="70">
        <f>K7*-K18/360</f>
        <v>220740.31376057668</v>
      </c>
      <c r="L6" s="70">
        <f>L7*-L18/360</f>
        <v>282015.60324945737</v>
      </c>
      <c r="M6" s="71">
        <f>M7*-M18/360</f>
        <v>198728.9316463198</v>
      </c>
    </row>
    <row r="7" spans="2:15" x14ac:dyDescent="0.25">
      <c r="B7" s="69"/>
      <c r="C7" s="4"/>
      <c r="D7" s="72" t="s">
        <v>154</v>
      </c>
      <c r="E7" s="72"/>
      <c r="F7" s="67"/>
      <c r="G7" s="73">
        <f>AVERAGE(F6:G6)*360/-G18</f>
        <v>54.222041362264626</v>
      </c>
      <c r="H7" s="73">
        <f>AVERAGE(G6:H6)*360/-H18</f>
        <v>60.876301605393813</v>
      </c>
      <c r="I7" s="74">
        <f>I8/2</f>
        <v>66.239561602267855</v>
      </c>
      <c r="J7" s="75">
        <f>I7</f>
        <v>66.239561602267855</v>
      </c>
      <c r="K7" s="75">
        <f>AVERAGE(G7:I7)</f>
        <v>60.445968189975439</v>
      </c>
      <c r="L7" s="75">
        <f>AVERAGE(K7,J7,H7)</f>
        <v>62.520610465879038</v>
      </c>
      <c r="M7" s="76">
        <f>AVERAGE(L7,K7,J7)</f>
        <v>63.068713419374113</v>
      </c>
      <c r="O7" t="s">
        <v>162</v>
      </c>
    </row>
    <row r="8" spans="2:15" x14ac:dyDescent="0.25">
      <c r="B8" s="69"/>
      <c r="C8" s="4"/>
      <c r="D8" s="72"/>
      <c r="E8" s="72"/>
      <c r="F8" s="67"/>
      <c r="G8" s="67"/>
      <c r="H8" s="67"/>
      <c r="I8" s="73">
        <f>AVERAGE(H6:I6)*360/-I18</f>
        <v>132.47912320453571</v>
      </c>
      <c r="J8" s="68"/>
      <c r="K8" s="68"/>
      <c r="L8" s="68"/>
      <c r="M8" s="8"/>
    </row>
    <row r="9" spans="2:15" x14ac:dyDescent="0.25">
      <c r="B9" s="69"/>
      <c r="C9" s="4"/>
      <c r="D9" s="72"/>
      <c r="E9" s="72"/>
      <c r="F9" s="67"/>
      <c r="G9" s="67"/>
      <c r="H9" s="67"/>
      <c r="I9" s="73"/>
      <c r="J9" s="68"/>
      <c r="K9" s="68"/>
      <c r="L9" s="68"/>
      <c r="M9" s="8"/>
    </row>
    <row r="10" spans="2:15" x14ac:dyDescent="0.25">
      <c r="B10" s="69">
        <v>2</v>
      </c>
      <c r="C10" s="57" t="s">
        <v>51</v>
      </c>
      <c r="D10" s="21"/>
      <c r="E10" s="21"/>
      <c r="F10" s="58">
        <f>'Balance Sheet'!F20</f>
        <v>1961509</v>
      </c>
      <c r="G10" s="58">
        <f>'Balance Sheet'!G20</f>
        <v>1860409</v>
      </c>
      <c r="H10" s="58">
        <f>'Balance Sheet'!H20</f>
        <v>2145046</v>
      </c>
      <c r="I10" s="58">
        <f>'Balance Sheet'!I20</f>
        <v>1882862</v>
      </c>
      <c r="J10" s="80">
        <f>J11*J19/360</f>
        <v>2013953.9999999998</v>
      </c>
      <c r="K10" s="80">
        <f t="shared" ref="K10:M10" si="0">K11*K19/360</f>
        <v>2304735.0498218732</v>
      </c>
      <c r="L10" s="80">
        <f t="shared" si="0"/>
        <v>3091532.4613642893</v>
      </c>
      <c r="M10" s="81">
        <f t="shared" si="0"/>
        <v>2263672.5327373892</v>
      </c>
      <c r="O10" t="s">
        <v>157</v>
      </c>
    </row>
    <row r="11" spans="2:15" x14ac:dyDescent="0.25">
      <c r="B11" s="69"/>
      <c r="C11" s="4"/>
      <c r="D11" s="72" t="s">
        <v>155</v>
      </c>
      <c r="E11" s="72"/>
      <c r="F11" s="67"/>
      <c r="G11" s="77">
        <f>AVERAGE(F10:G10)*360/G19</f>
        <v>53.505186799686378</v>
      </c>
      <c r="H11" s="77">
        <f>AVERAGE(G10:H10)*360/H19</f>
        <v>55.022560197603873</v>
      </c>
      <c r="I11" s="74">
        <f>I12/2</f>
        <v>71.790071625361804</v>
      </c>
      <c r="J11" s="75">
        <f>I11</f>
        <v>71.790071625361804</v>
      </c>
      <c r="K11" s="75">
        <f>AVERAGE(G11:I11)</f>
        <v>60.105939540884016</v>
      </c>
      <c r="L11" s="75">
        <f>AVERAGE(K11,J11,H11)</f>
        <v>62.306190454616562</v>
      </c>
      <c r="M11" s="76">
        <f>AVERAGE(L11,K11,J11)</f>
        <v>64.734067206954123</v>
      </c>
      <c r="O11" t="s">
        <v>162</v>
      </c>
    </row>
    <row r="12" spans="2:15" x14ac:dyDescent="0.25">
      <c r="B12" s="69"/>
      <c r="C12" s="4"/>
      <c r="D12" s="72"/>
      <c r="E12" s="72"/>
      <c r="F12" s="67"/>
      <c r="G12" s="67"/>
      <c r="H12" s="67"/>
      <c r="I12" s="77">
        <f>AVERAGE(H10:I10)*360/I19</f>
        <v>143.58014325072361</v>
      </c>
      <c r="J12" s="68"/>
      <c r="K12" s="68"/>
      <c r="L12" s="68"/>
      <c r="M12" s="8"/>
    </row>
    <row r="13" spans="2:15" x14ac:dyDescent="0.25">
      <c r="B13" s="66" t="s">
        <v>62</v>
      </c>
      <c r="C13" s="57"/>
      <c r="D13" s="21"/>
      <c r="E13" s="21"/>
      <c r="F13" s="67"/>
      <c r="G13" s="67"/>
      <c r="H13" s="67"/>
      <c r="I13" s="67"/>
      <c r="J13" s="10"/>
      <c r="K13" s="10"/>
      <c r="L13" s="10"/>
      <c r="M13" s="8"/>
    </row>
    <row r="14" spans="2:15" x14ac:dyDescent="0.25">
      <c r="B14" s="69">
        <v>3</v>
      </c>
      <c r="C14" s="57" t="s">
        <v>63</v>
      </c>
      <c r="D14" s="21"/>
      <c r="E14" s="21"/>
      <c r="F14" s="58">
        <f>'Balance Sheet'!F39</f>
        <v>17237224</v>
      </c>
      <c r="G14" s="58">
        <f>'Balance Sheet'!G39</f>
        <v>14827617</v>
      </c>
      <c r="H14" s="58">
        <f>'Balance Sheet'!H39</f>
        <v>19973302</v>
      </c>
      <c r="I14" s="58">
        <f>'Balance Sheet'!I39</f>
        <v>19570884</v>
      </c>
      <c r="J14" s="80">
        <f>J15*J19/360</f>
        <v>19637364.444444444</v>
      </c>
      <c r="K14" s="80">
        <f t="shared" ref="K14:M14" si="1">K15*K19/360</f>
        <v>23006728.460712548</v>
      </c>
      <c r="L14" s="80">
        <f t="shared" si="1"/>
        <v>27290111.004120499</v>
      </c>
      <c r="M14" s="81">
        <f t="shared" si="1"/>
        <v>17484399.099321634</v>
      </c>
    </row>
    <row r="15" spans="2:15" x14ac:dyDescent="0.25">
      <c r="B15" s="69"/>
      <c r="C15" s="4"/>
      <c r="D15" s="72" t="s">
        <v>156</v>
      </c>
      <c r="E15" s="72"/>
      <c r="F15" s="67"/>
      <c r="G15" s="77">
        <f>AVERAGE(F14:G14)*360/G19</f>
        <v>448.89380342729555</v>
      </c>
      <c r="H15" s="77">
        <f>AVERAGE(G14:H14)*360/H19</f>
        <v>478.05696496638615</v>
      </c>
      <c r="I15" s="74">
        <f>I16/2</f>
        <v>704.80257873482458</v>
      </c>
      <c r="J15" s="75">
        <v>700</v>
      </c>
      <c r="K15" s="75">
        <v>600</v>
      </c>
      <c r="L15" s="75">
        <v>550</v>
      </c>
      <c r="M15" s="76">
        <v>500</v>
      </c>
      <c r="O15" t="s">
        <v>307</v>
      </c>
    </row>
    <row r="16" spans="2:15" x14ac:dyDescent="0.25">
      <c r="B16" s="69"/>
      <c r="C16" s="4"/>
      <c r="D16" s="72"/>
      <c r="E16" s="72"/>
      <c r="F16" s="67"/>
      <c r="G16" s="67"/>
      <c r="H16" s="67"/>
      <c r="I16" s="77">
        <f>AVERAGE(H14:I14)*360/I19</f>
        <v>1409.6051574696492</v>
      </c>
      <c r="J16" s="10"/>
      <c r="K16" s="10"/>
      <c r="L16" s="10"/>
      <c r="M16" s="8"/>
    </row>
    <row r="17" spans="2:13" x14ac:dyDescent="0.25">
      <c r="B17" s="78" t="s">
        <v>160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8"/>
    </row>
    <row r="18" spans="2:13" x14ac:dyDescent="0.25">
      <c r="B18" s="7" t="s">
        <v>158</v>
      </c>
      <c r="C18" s="4"/>
      <c r="D18" s="4"/>
      <c r="E18" s="4"/>
      <c r="F18" s="58">
        <f>'Income Statement'!E25</f>
        <v>-1261578</v>
      </c>
      <c r="G18" s="58">
        <f>'Income Statement'!F25</f>
        <v>-1199209</v>
      </c>
      <c r="H18" s="58">
        <f>'Income Statement'!G25</f>
        <v>-1087023</v>
      </c>
      <c r="I18" s="58">
        <f>'Income Statement'!I25</f>
        <v>-500915</v>
      </c>
      <c r="J18" s="58">
        <f>'Income Statement'!K25</f>
        <v>-1001830</v>
      </c>
      <c r="K18" s="58">
        <f>'Income Statement'!L25</f>
        <v>-1314670.1977550026</v>
      </c>
      <c r="L18" s="58">
        <f>'Income Statement'!M25</f>
        <v>-1623874.3737989059</v>
      </c>
      <c r="M18" s="82">
        <f>'Income Statement'!N25</f>
        <v>-1134356.664562908</v>
      </c>
    </row>
    <row r="19" spans="2:13" x14ac:dyDescent="0.25">
      <c r="B19" s="30" t="s">
        <v>159</v>
      </c>
      <c r="C19" s="31"/>
      <c r="D19" s="31"/>
      <c r="E19" s="31"/>
      <c r="F19" s="79">
        <f>-'Income Statement'!E27-'Income Statement'!E28</f>
        <v>12179824</v>
      </c>
      <c r="G19" s="79">
        <f>-'Income Statement'!F27-'Income Statement'!F28</f>
        <v>12857543</v>
      </c>
      <c r="H19" s="79">
        <f>-'Income Statement'!G27-'Income Statement'!G28</f>
        <v>13103387</v>
      </c>
      <c r="I19" s="79">
        <f>-'Income Statement'!I27-'Income Statement'!I28</f>
        <v>5049608</v>
      </c>
      <c r="J19" s="79">
        <f>-'Income Statement'!K27-'Income Statement'!K28</f>
        <v>10099216</v>
      </c>
      <c r="K19" s="79">
        <f>-'Income Statement'!L27-'Income Statement'!L28</f>
        <v>13804037.076427529</v>
      </c>
      <c r="L19" s="79">
        <f>-'Income Statement'!M27-'Income Statement'!M28</f>
        <v>17862618.111787964</v>
      </c>
      <c r="M19" s="83">
        <f>-'Income Statement'!N27-'Income Statement'!N28</f>
        <v>12588767.351511575</v>
      </c>
    </row>
    <row r="21" spans="2:13" x14ac:dyDescent="0.25">
      <c r="B21" s="230" t="s">
        <v>308</v>
      </c>
      <c r="F21" s="23">
        <f>F6+F10-F14</f>
        <v>-15104272</v>
      </c>
      <c r="G21" s="23">
        <f t="shared" ref="G21:H21" si="2">G6+G10-G14</f>
        <v>-12777409</v>
      </c>
      <c r="H21" s="23">
        <f t="shared" si="2"/>
        <v>-17650422</v>
      </c>
      <c r="I21" s="179"/>
      <c r="J21" s="23">
        <f>J6+J10-J14</f>
        <v>-17439074.944444444</v>
      </c>
      <c r="K21" s="23">
        <f t="shared" ref="K21:M21" si="3">K6+K10-K14</f>
        <v>-20481253.097130097</v>
      </c>
      <c r="L21" s="23">
        <f t="shared" si="3"/>
        <v>-23916562.939506754</v>
      </c>
      <c r="M21" s="23">
        <f t="shared" si="3"/>
        <v>-15021997.634937923</v>
      </c>
    </row>
    <row r="22" spans="2:13" x14ac:dyDescent="0.25">
      <c r="B22" s="231" t="s">
        <v>299</v>
      </c>
      <c r="G22" s="23">
        <f>G21-F21</f>
        <v>2326863</v>
      </c>
      <c r="H22" s="23">
        <f>H21-G21</f>
        <v>-4873013</v>
      </c>
      <c r="I22" s="179"/>
      <c r="J22" s="23">
        <f>J21-H21</f>
        <v>211347.05555555597</v>
      </c>
      <c r="K22" s="23">
        <f>K21-J21</f>
        <v>-3042178.1526856534</v>
      </c>
      <c r="L22" s="23">
        <f>L21-K21</f>
        <v>-3435309.8423766568</v>
      </c>
      <c r="M22" s="23">
        <f>M21-L21</f>
        <v>8894565.3045688309</v>
      </c>
    </row>
  </sheetData>
  <mergeCells count="2">
    <mergeCell ref="J2:M2"/>
    <mergeCell ref="F2:I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17"/>
  <sheetViews>
    <sheetView zoomScaleNormal="100" workbookViewId="0">
      <selection activeCell="B2" sqref="B2"/>
    </sheetView>
  </sheetViews>
  <sheetFormatPr defaultRowHeight="15" x14ac:dyDescent="0.25"/>
  <cols>
    <col min="2" max="2" width="42.140625" bestFit="1" customWidth="1"/>
    <col min="4" max="7" width="10.140625" bestFit="1" customWidth="1"/>
    <col min="8" max="11" width="11.28515625" bestFit="1" customWidth="1"/>
    <col min="13" max="13" width="0" hidden="1" customWidth="1"/>
  </cols>
  <sheetData>
    <row r="2" spans="2:14" x14ac:dyDescent="0.25">
      <c r="B2" s="1"/>
      <c r="C2" s="2"/>
      <c r="D2" s="240" t="s">
        <v>1</v>
      </c>
      <c r="E2" s="240"/>
      <c r="F2" s="240"/>
      <c r="G2" s="240"/>
      <c r="H2" s="241" t="s">
        <v>2</v>
      </c>
      <c r="I2" s="241"/>
      <c r="J2" s="241"/>
      <c r="K2" s="242"/>
      <c r="N2" t="s">
        <v>177</v>
      </c>
    </row>
    <row r="3" spans="2:14" ht="15.75" thickBot="1" x14ac:dyDescent="0.3">
      <c r="B3" s="3" t="s">
        <v>3</v>
      </c>
      <c r="C3" s="4"/>
      <c r="D3" s="5" t="s">
        <v>4</v>
      </c>
      <c r="E3" s="5" t="s">
        <v>5</v>
      </c>
      <c r="F3" s="5" t="s">
        <v>11</v>
      </c>
      <c r="G3" s="5" t="s">
        <v>113</v>
      </c>
      <c r="H3" s="5" t="s">
        <v>6</v>
      </c>
      <c r="I3" s="5" t="s">
        <v>7</v>
      </c>
      <c r="J3" s="5" t="s">
        <v>8</v>
      </c>
      <c r="K3" s="6" t="s">
        <v>10</v>
      </c>
      <c r="N3" t="s">
        <v>178</v>
      </c>
    </row>
    <row r="4" spans="2:14" x14ac:dyDescent="0.25">
      <c r="B4" s="7"/>
      <c r="C4" s="4" t="s">
        <v>9</v>
      </c>
      <c r="D4" s="4"/>
      <c r="E4" s="4"/>
      <c r="F4" s="4"/>
      <c r="G4" s="4"/>
      <c r="H4" s="4"/>
      <c r="I4" s="4"/>
      <c r="J4" s="4"/>
      <c r="K4" s="8"/>
      <c r="N4" t="s">
        <v>179</v>
      </c>
    </row>
    <row r="5" spans="2:14" x14ac:dyDescent="0.25">
      <c r="B5" s="7" t="s">
        <v>0</v>
      </c>
      <c r="C5" s="4"/>
      <c r="D5" s="58">
        <f>'Income Statement'!E11</f>
        <v>48639742</v>
      </c>
      <c r="E5" s="58">
        <f>'Income Statement'!F11</f>
        <v>55210901</v>
      </c>
      <c r="F5" s="58">
        <f>'Income Statement'!G11</f>
        <v>51901991</v>
      </c>
      <c r="G5" s="58">
        <f>'Income Statement'!I11</f>
        <v>6222665</v>
      </c>
      <c r="H5" s="58">
        <f>'Income Statement'!K11</f>
        <v>12445330</v>
      </c>
      <c r="I5" s="58">
        <f>'Income Statement'!L11</f>
        <v>21911169.962583378</v>
      </c>
      <c r="J5" s="58">
        <f>'Income Statement'!M11</f>
        <v>40596859.344972648</v>
      </c>
      <c r="K5" s="82">
        <f>'Income Statement'!N11</f>
        <v>49606378.824754372</v>
      </c>
      <c r="N5" t="s">
        <v>180</v>
      </c>
    </row>
    <row r="6" spans="2:14" x14ac:dyDescent="0.25">
      <c r="B6" s="7" t="s">
        <v>165</v>
      </c>
      <c r="C6" s="4"/>
      <c r="D6" s="58">
        <f>'Cash Flow Statement'!F33</f>
        <v>-2008270</v>
      </c>
      <c r="E6" s="58">
        <f>'Cash Flow Statement'!G33</f>
        <v>-3008737</v>
      </c>
      <c r="F6" s="58">
        <f>'Cash Flow Statement'!H33</f>
        <v>-4118390</v>
      </c>
      <c r="G6" s="58">
        <f>'Cash Flow Statement'!I33</f>
        <v>-2506168</v>
      </c>
      <c r="H6" s="26">
        <f>-H16</f>
        <v>-4000000</v>
      </c>
      <c r="I6" s="26">
        <f>-I16</f>
        <v>-4000000</v>
      </c>
      <c r="J6" s="26">
        <f>-J16</f>
        <v>-4000000</v>
      </c>
      <c r="K6" s="53">
        <f>-K16</f>
        <v>-4000000</v>
      </c>
    </row>
    <row r="7" spans="2:14" x14ac:dyDescent="0.25">
      <c r="B7" s="7" t="s">
        <v>166</v>
      </c>
      <c r="C7" s="4"/>
      <c r="D7" s="92">
        <f>-D6/D5</f>
        <v>4.1288664730170649E-2</v>
      </c>
      <c r="E7" s="92">
        <f>-E6/E5</f>
        <v>5.4495343229410437E-2</v>
      </c>
      <c r="F7" s="92">
        <f>-F6/F5</f>
        <v>7.9349364458870184E-2</v>
      </c>
      <c r="G7" s="92">
        <f>-G6/G5</f>
        <v>0.4027483401404382</v>
      </c>
      <c r="H7" s="92">
        <f>-H6/H5</f>
        <v>0.32140569996938612</v>
      </c>
      <c r="I7" s="92">
        <f t="shared" ref="I7:K7" si="0">-I6/I5</f>
        <v>0.18255529060431744</v>
      </c>
      <c r="J7" s="92">
        <f t="shared" si="0"/>
        <v>9.8529789361534545E-2</v>
      </c>
      <c r="K7" s="93">
        <f t="shared" si="0"/>
        <v>8.0634791225759381E-2</v>
      </c>
    </row>
    <row r="8" spans="2:14" x14ac:dyDescent="0.25">
      <c r="B8" s="7" t="s">
        <v>167</v>
      </c>
      <c r="C8" s="4"/>
      <c r="D8" s="58">
        <f>'Income Statement'!E26</f>
        <v>-3348665</v>
      </c>
      <c r="E8" s="58">
        <f>'Income Statement'!F26</f>
        <v>-3315913</v>
      </c>
      <c r="F8" s="58">
        <f>'Income Statement'!G26</f>
        <v>-3456596</v>
      </c>
      <c r="G8" s="58">
        <f>'Income Statement'!I26</f>
        <v>-1597503</v>
      </c>
      <c r="H8" s="12">
        <f>-F9*H11</f>
        <v>-3195006</v>
      </c>
      <c r="I8" s="12">
        <f t="shared" ref="I8:K8" si="1">-G9*I11</f>
        <v>-3498428.4471677034</v>
      </c>
      <c r="J8" s="12">
        <f t="shared" si="1"/>
        <v>-3489357.8058518679</v>
      </c>
      <c r="K8" s="13">
        <f t="shared" si="1"/>
        <v>-3541536.625582675</v>
      </c>
    </row>
    <row r="9" spans="2:14" ht="15.75" thickBot="1" x14ac:dyDescent="0.3">
      <c r="B9" s="7" t="s">
        <v>41</v>
      </c>
      <c r="C9" s="4"/>
      <c r="D9" s="58">
        <f>'Balance Sheet'!F6</f>
        <v>31801690</v>
      </c>
      <c r="E9" s="58">
        <f>'Balance Sheet'!G6</f>
        <v>31359096</v>
      </c>
      <c r="F9" s="58">
        <f>'Balance Sheet'!H6</f>
        <v>32736635</v>
      </c>
      <c r="G9" s="58">
        <f>'Balance Sheet'!I6</f>
        <v>33628821</v>
      </c>
      <c r="H9" s="85">
        <f>F9+H16+H8</f>
        <v>33541629</v>
      </c>
      <c r="I9" s="85">
        <f>H9+I16+I8</f>
        <v>34043200.552832298</v>
      </c>
      <c r="J9" s="85">
        <f>I9+J16+J8</f>
        <v>34553842.746980429</v>
      </c>
      <c r="K9" s="88">
        <f>J9+K16+K8</f>
        <v>35012306.121397756</v>
      </c>
    </row>
    <row r="10" spans="2:14" ht="15.75" thickTop="1" x14ac:dyDescent="0.25">
      <c r="B10" s="7" t="s">
        <v>168</v>
      </c>
      <c r="C10" s="4"/>
      <c r="D10" s="92">
        <f t="shared" ref="D10:K10" si="2">-D8/D5</f>
        <v>6.8846273896765328E-2</v>
      </c>
      <c r="E10" s="92">
        <f t="shared" si="2"/>
        <v>6.0059027111330786E-2</v>
      </c>
      <c r="F10" s="92">
        <f t="shared" si="2"/>
        <v>6.6598524129835399E-2</v>
      </c>
      <c r="G10" s="92">
        <f t="shared" si="2"/>
        <v>0.25672328495909713</v>
      </c>
      <c r="H10" s="92">
        <f t="shared" si="2"/>
        <v>0.25672328495909713</v>
      </c>
      <c r="I10" s="92">
        <f t="shared" si="2"/>
        <v>0.15966415545777779</v>
      </c>
      <c r="J10" s="92">
        <f t="shared" si="2"/>
        <v>8.5951422404402719E-2</v>
      </c>
      <c r="K10" s="93">
        <f t="shared" si="2"/>
        <v>7.1392766605559849E-2</v>
      </c>
      <c r="M10" t="s">
        <v>169</v>
      </c>
      <c r="N10" t="s">
        <v>174</v>
      </c>
    </row>
    <row r="11" spans="2:14" x14ac:dyDescent="0.25">
      <c r="B11" s="30" t="s">
        <v>170</v>
      </c>
      <c r="C11" s="31"/>
      <c r="D11" s="31"/>
      <c r="E11" s="94">
        <f>-E8/D9</f>
        <v>0.10426845239985674</v>
      </c>
      <c r="F11" s="94">
        <f>-F8/E9</f>
        <v>0.1102262641754724</v>
      </c>
      <c r="G11" s="94">
        <f>-G8/F9</f>
        <v>4.8798631869158206E-2</v>
      </c>
      <c r="H11" s="48">
        <f>G11*2</f>
        <v>9.7597263738316412E-2</v>
      </c>
      <c r="I11" s="98">
        <f>AVERAGE(E11,F11,H11)</f>
        <v>0.10403066010454852</v>
      </c>
      <c r="J11" s="98">
        <f>I11</f>
        <v>0.10403066010454852</v>
      </c>
      <c r="K11" s="99">
        <f>J11</f>
        <v>0.10403066010454852</v>
      </c>
      <c r="N11" t="s">
        <v>176</v>
      </c>
    </row>
    <row r="12" spans="2:14" x14ac:dyDescent="0.25">
      <c r="G12" s="25"/>
    </row>
    <row r="13" spans="2:14" x14ac:dyDescent="0.25">
      <c r="B13" s="95" t="s">
        <v>171</v>
      </c>
      <c r="C13" s="2"/>
      <c r="D13" s="2"/>
      <c r="E13" s="2"/>
      <c r="F13" s="2"/>
      <c r="G13" s="2"/>
      <c r="H13" s="2"/>
      <c r="I13" s="2"/>
      <c r="J13" s="2"/>
      <c r="K13" s="96"/>
    </row>
    <row r="14" spans="2:14" x14ac:dyDescent="0.25">
      <c r="B14" s="7" t="s">
        <v>175</v>
      </c>
      <c r="C14" s="4"/>
      <c r="D14" s="4"/>
      <c r="E14" s="4"/>
      <c r="F14" s="4"/>
      <c r="G14" s="4"/>
      <c r="H14" s="9">
        <v>4000000</v>
      </c>
      <c r="I14" s="9">
        <v>4000000</v>
      </c>
      <c r="J14" s="9">
        <v>4000000</v>
      </c>
      <c r="K14" s="9">
        <v>4000000</v>
      </c>
      <c r="M14" t="s">
        <v>172</v>
      </c>
      <c r="N14" t="s">
        <v>220</v>
      </c>
    </row>
    <row r="15" spans="2:14" x14ac:dyDescent="0.25">
      <c r="B15" s="7" t="s">
        <v>173</v>
      </c>
      <c r="C15" s="4"/>
      <c r="D15" s="4"/>
      <c r="E15" s="4"/>
      <c r="F15" s="4"/>
      <c r="G15" s="4"/>
      <c r="H15" s="92">
        <f>H14/H5</f>
        <v>0.32140569996938612</v>
      </c>
      <c r="I15" s="92">
        <f t="shared" ref="I15:K15" si="3">I14/I5</f>
        <v>0.18255529060431744</v>
      </c>
      <c r="J15" s="92">
        <f t="shared" si="3"/>
        <v>9.8529789361534545E-2</v>
      </c>
      <c r="K15" s="93">
        <f t="shared" si="3"/>
        <v>8.0634791225759381E-2</v>
      </c>
    </row>
    <row r="16" spans="2:14" x14ac:dyDescent="0.25">
      <c r="B16" s="30" t="s">
        <v>175</v>
      </c>
      <c r="C16" s="31"/>
      <c r="D16" s="31"/>
      <c r="E16" s="31"/>
      <c r="F16" s="31"/>
      <c r="G16" s="31"/>
      <c r="H16" s="32">
        <f>H14</f>
        <v>4000000</v>
      </c>
      <c r="I16" s="32">
        <f t="shared" ref="I16:K16" si="4">I14</f>
        <v>4000000</v>
      </c>
      <c r="J16" s="32">
        <f t="shared" si="4"/>
        <v>4000000</v>
      </c>
      <c r="K16" s="97">
        <f t="shared" si="4"/>
        <v>4000000</v>
      </c>
    </row>
    <row r="17" spans="8:11" x14ac:dyDescent="0.25">
      <c r="H17" s="25"/>
      <c r="I17" s="25"/>
      <c r="J17" s="25"/>
      <c r="K17" s="25"/>
    </row>
  </sheetData>
  <mergeCells count="2">
    <mergeCell ref="D2:G2"/>
    <mergeCell ref="H2:K2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47"/>
  <sheetViews>
    <sheetView zoomScale="85" zoomScaleNormal="85" workbookViewId="0">
      <selection activeCell="B2" sqref="B2"/>
    </sheetView>
  </sheetViews>
  <sheetFormatPr defaultRowHeight="15" x14ac:dyDescent="0.25"/>
  <cols>
    <col min="2" max="2" width="2.7109375" customWidth="1"/>
    <col min="3" max="3" width="3.7109375" customWidth="1"/>
    <col min="4" max="4" width="47" bestFit="1" customWidth="1"/>
    <col min="6" max="6" width="13.28515625" bestFit="1" customWidth="1"/>
    <col min="7" max="7" width="11.5703125" bestFit="1" customWidth="1"/>
    <col min="8" max="9" width="13.28515625" bestFit="1" customWidth="1"/>
    <col min="10" max="10" width="14.28515625" bestFit="1" customWidth="1"/>
    <col min="11" max="12" width="14" bestFit="1" customWidth="1"/>
  </cols>
  <sheetData>
    <row r="2" spans="1:14" x14ac:dyDescent="0.25">
      <c r="B2" s="1"/>
      <c r="C2" s="2"/>
      <c r="D2" s="2"/>
      <c r="E2" s="240" t="s">
        <v>1</v>
      </c>
      <c r="F2" s="240"/>
      <c r="G2" s="240"/>
      <c r="H2" s="240"/>
      <c r="I2" s="241" t="s">
        <v>2</v>
      </c>
      <c r="J2" s="241"/>
      <c r="K2" s="241"/>
      <c r="L2" s="242"/>
      <c r="M2" s="101"/>
    </row>
    <row r="3" spans="1:14" ht="15.75" thickBot="1" x14ac:dyDescent="0.3">
      <c r="A3" s="101"/>
      <c r="B3" s="3" t="s">
        <v>3</v>
      </c>
      <c r="C3" s="14"/>
      <c r="D3" s="14"/>
      <c r="E3" s="5" t="s">
        <v>4</v>
      </c>
      <c r="F3" s="5" t="s">
        <v>5</v>
      </c>
      <c r="G3" s="5" t="s">
        <v>11</v>
      </c>
      <c r="H3" s="5" t="s">
        <v>113</v>
      </c>
      <c r="I3" s="5" t="s">
        <v>6</v>
      </c>
      <c r="J3" s="5" t="s">
        <v>7</v>
      </c>
      <c r="K3" s="5" t="s">
        <v>8</v>
      </c>
      <c r="L3" s="6" t="s">
        <v>10</v>
      </c>
      <c r="M3" s="101"/>
    </row>
    <row r="4" spans="1:14" x14ac:dyDescent="0.25">
      <c r="A4" s="101"/>
      <c r="B4" s="7"/>
      <c r="C4" s="4"/>
      <c r="D4" s="4"/>
      <c r="E4" s="102"/>
      <c r="F4" s="102"/>
      <c r="G4" s="102"/>
      <c r="H4" s="102"/>
      <c r="I4" s="102"/>
      <c r="J4" s="102"/>
      <c r="K4" s="102"/>
      <c r="L4" s="103"/>
      <c r="M4" s="101"/>
    </row>
    <row r="5" spans="1:14" x14ac:dyDescent="0.25">
      <c r="A5" s="101"/>
      <c r="B5" s="104" t="s">
        <v>181</v>
      </c>
      <c r="C5" s="21"/>
      <c r="D5" s="21"/>
      <c r="E5" s="21"/>
      <c r="F5" s="21"/>
      <c r="G5" s="21"/>
      <c r="H5" s="21"/>
      <c r="I5" s="21"/>
      <c r="J5" s="21"/>
      <c r="K5" s="21"/>
      <c r="L5" s="105"/>
      <c r="M5" s="101"/>
    </row>
    <row r="6" spans="1:14" x14ac:dyDescent="0.25">
      <c r="A6" s="101"/>
      <c r="B6" s="20"/>
      <c r="C6" s="106" t="s">
        <v>182</v>
      </c>
      <c r="D6" s="21"/>
      <c r="E6" s="21"/>
      <c r="F6" s="21"/>
      <c r="G6" s="21"/>
      <c r="H6" s="21"/>
      <c r="I6" s="67">
        <f>G31</f>
        <v>6248151</v>
      </c>
      <c r="J6" s="67">
        <f ca="1">I31</f>
        <v>6616223.2307359371</v>
      </c>
      <c r="K6" s="67">
        <f t="shared" ref="K6" ca="1" si="0">J31</f>
        <v>2707603.7015890107</v>
      </c>
      <c r="L6" s="107">
        <f ca="1">K31</f>
        <v>3811762.9801575346</v>
      </c>
      <c r="M6" s="101"/>
    </row>
    <row r="7" spans="1:14" x14ac:dyDescent="0.25">
      <c r="A7" s="101"/>
      <c r="B7" s="20"/>
      <c r="C7" s="106" t="s">
        <v>183</v>
      </c>
      <c r="D7" s="21"/>
      <c r="E7" s="21"/>
      <c r="F7" s="21"/>
      <c r="G7" s="21"/>
      <c r="H7" s="21"/>
      <c r="I7" s="121">
        <f ca="1">'Cash Flow Statement'!J68</f>
        <v>-5258251.7692640629</v>
      </c>
      <c r="J7" s="121">
        <f ca="1">'Cash Flow Statement'!K68</f>
        <v>-2292266.529146926</v>
      </c>
      <c r="K7" s="121">
        <f ca="1">'Cash Flow Statement'!L68</f>
        <v>2289564.2785685239</v>
      </c>
      <c r="L7" s="121">
        <f ca="1">'Cash Flow Statement'!M68</f>
        <v>947535.4709081403</v>
      </c>
      <c r="M7" s="101"/>
    </row>
    <row r="8" spans="1:14" x14ac:dyDescent="0.25">
      <c r="A8" s="101"/>
      <c r="B8" s="20"/>
      <c r="C8" s="106" t="s">
        <v>184</v>
      </c>
      <c r="D8" s="21"/>
      <c r="E8" s="21"/>
      <c r="F8" s="21"/>
      <c r="G8" s="21"/>
      <c r="H8" s="21"/>
      <c r="I8" s="67">
        <v>0</v>
      </c>
      <c r="J8" s="67">
        <v>0</v>
      </c>
      <c r="K8" s="67">
        <v>0</v>
      </c>
      <c r="L8" s="107">
        <v>0</v>
      </c>
      <c r="M8" s="101"/>
    </row>
    <row r="9" spans="1:14" x14ac:dyDescent="0.25">
      <c r="A9" s="101"/>
      <c r="B9" s="20"/>
      <c r="C9" s="110" t="s">
        <v>185</v>
      </c>
      <c r="D9" s="21"/>
      <c r="E9" s="21"/>
      <c r="F9" s="21"/>
      <c r="G9" s="21"/>
      <c r="H9" s="21"/>
      <c r="I9" s="67">
        <f ca="1">SUM(I6:I8)</f>
        <v>989899.23073593713</v>
      </c>
      <c r="J9" s="67">
        <f t="shared" ref="J9:L9" ca="1" si="1">SUM(J6:J8)</f>
        <v>4323956.7015890107</v>
      </c>
      <c r="K9" s="67">
        <f t="shared" ca="1" si="1"/>
        <v>4997167.9801575346</v>
      </c>
      <c r="L9" s="107">
        <f t="shared" ca="1" si="1"/>
        <v>4759298.4510656744</v>
      </c>
      <c r="M9" s="101"/>
    </row>
    <row r="10" spans="1:14" x14ac:dyDescent="0.25">
      <c r="A10" s="101"/>
      <c r="B10" s="20"/>
      <c r="C10" s="21"/>
      <c r="D10" s="21"/>
      <c r="E10" s="21"/>
      <c r="F10" s="21"/>
      <c r="G10" s="21"/>
      <c r="H10" s="21"/>
      <c r="I10" s="21"/>
      <c r="J10" s="21"/>
      <c r="K10" s="21"/>
      <c r="L10" s="105"/>
      <c r="M10" s="101"/>
      <c r="N10" t="s">
        <v>211</v>
      </c>
    </row>
    <row r="11" spans="1:14" x14ac:dyDescent="0.25">
      <c r="A11" s="101"/>
      <c r="B11" s="104" t="s">
        <v>186</v>
      </c>
      <c r="C11" s="106"/>
      <c r="D11" s="106"/>
      <c r="E11" s="21"/>
      <c r="F11" s="21"/>
      <c r="G11" s="21"/>
      <c r="H11" s="21"/>
      <c r="I11" s="21"/>
      <c r="J11" s="21"/>
      <c r="K11" s="21"/>
      <c r="L11" s="105"/>
      <c r="M11" s="101"/>
      <c r="N11" t="s">
        <v>212</v>
      </c>
    </row>
    <row r="12" spans="1:14" x14ac:dyDescent="0.25">
      <c r="A12" s="101"/>
      <c r="B12" s="104"/>
      <c r="C12" s="106" t="s">
        <v>187</v>
      </c>
      <c r="D12" s="106"/>
      <c r="E12" s="21"/>
      <c r="F12" s="21"/>
      <c r="G12" s="21"/>
      <c r="H12" s="21"/>
      <c r="I12" s="67">
        <f>G15</f>
        <v>544183</v>
      </c>
      <c r="J12" s="67">
        <f t="shared" ref="J12:L12" si="2">I15</f>
        <v>6170507</v>
      </c>
      <c r="K12" s="67">
        <f t="shared" si="2"/>
        <v>4554154</v>
      </c>
      <c r="L12" s="107">
        <f t="shared" si="2"/>
        <v>3368749</v>
      </c>
      <c r="M12" s="101"/>
      <c r="N12" t="s">
        <v>213</v>
      </c>
    </row>
    <row r="13" spans="1:14" x14ac:dyDescent="0.25">
      <c r="A13" s="101"/>
      <c r="B13" s="104"/>
      <c r="C13" s="106" t="s">
        <v>188</v>
      </c>
      <c r="D13" s="106"/>
      <c r="E13" s="21"/>
      <c r="F13" s="21"/>
      <c r="G13" s="9"/>
      <c r="H13" s="21"/>
      <c r="I13" s="9">
        <v>-1559081</v>
      </c>
      <c r="J13" s="100">
        <f>-6175434+1559081</f>
        <v>-4616353</v>
      </c>
      <c r="K13" s="9">
        <v>-7185405</v>
      </c>
      <c r="L13" s="138">
        <v>-3000000</v>
      </c>
      <c r="M13" s="101"/>
      <c r="N13" t="s">
        <v>214</v>
      </c>
    </row>
    <row r="14" spans="1:14" x14ac:dyDescent="0.25">
      <c r="A14" s="101"/>
      <c r="B14" s="104"/>
      <c r="C14" s="106" t="s">
        <v>189</v>
      </c>
      <c r="D14" s="106"/>
      <c r="E14" s="21"/>
      <c r="F14" s="21"/>
      <c r="G14" s="9"/>
      <c r="H14" s="21"/>
      <c r="I14" s="9">
        <v>7185405</v>
      </c>
      <c r="J14" s="100">
        <v>3000000</v>
      </c>
      <c r="K14" s="100">
        <v>6000000</v>
      </c>
      <c r="L14" s="138">
        <v>0</v>
      </c>
      <c r="M14" s="101"/>
      <c r="N14" t="s">
        <v>215</v>
      </c>
    </row>
    <row r="15" spans="1:14" x14ac:dyDescent="0.25">
      <c r="A15" s="101"/>
      <c r="B15" s="111"/>
      <c r="C15" s="110" t="s">
        <v>190</v>
      </c>
      <c r="D15" s="112"/>
      <c r="E15" s="21"/>
      <c r="F15" s="21"/>
      <c r="G15" s="119">
        <f>'Balance Sheet'!H42</f>
        <v>544183</v>
      </c>
      <c r="I15" s="67">
        <f>SUM(I12:I14)</f>
        <v>6170507</v>
      </c>
      <c r="J15" s="67">
        <f t="shared" ref="J15:L15" si="3">SUM(J12:J14)</f>
        <v>4554154</v>
      </c>
      <c r="K15" s="67">
        <f>SUM(K12:K14)</f>
        <v>3368749</v>
      </c>
      <c r="L15" s="107">
        <f t="shared" si="3"/>
        <v>368749</v>
      </c>
      <c r="M15" s="101"/>
    </row>
    <row r="16" spans="1:14" x14ac:dyDescent="0.25">
      <c r="A16" s="101"/>
      <c r="B16" s="104"/>
      <c r="C16" s="106" t="s">
        <v>191</v>
      </c>
      <c r="D16" s="113"/>
      <c r="E16" s="21"/>
      <c r="F16" s="21"/>
      <c r="G16" s="21"/>
      <c r="H16" s="21"/>
      <c r="I16" s="124">
        <f>AVERAGE(I12,I15)*I17</f>
        <v>167867.25</v>
      </c>
      <c r="J16" s="124">
        <f>AVERAGE(J12,J15)*J17</f>
        <v>268116.52500000002</v>
      </c>
      <c r="K16" s="124">
        <f t="shared" ref="K16:L16" si="4">AVERAGE(K12,K15)*K17</f>
        <v>198072.57500000001</v>
      </c>
      <c r="L16" s="129">
        <f t="shared" si="4"/>
        <v>93437.450000000012</v>
      </c>
      <c r="M16" s="101"/>
    </row>
    <row r="17" spans="1:13" x14ac:dyDescent="0.25">
      <c r="A17" s="101"/>
      <c r="B17" s="104"/>
      <c r="C17" s="21"/>
      <c r="D17" s="114" t="s">
        <v>192</v>
      </c>
      <c r="E17" s="21"/>
      <c r="F17" s="21"/>
      <c r="G17" s="21"/>
      <c r="H17" s="21"/>
      <c r="I17" s="122">
        <v>0.05</v>
      </c>
      <c r="J17" s="122">
        <v>0.05</v>
      </c>
      <c r="K17" s="122">
        <v>0.05</v>
      </c>
      <c r="L17" s="123">
        <v>0.05</v>
      </c>
      <c r="M17" s="101"/>
    </row>
    <row r="18" spans="1:13" x14ac:dyDescent="0.25">
      <c r="A18" s="101"/>
      <c r="B18" s="104"/>
      <c r="C18" s="21"/>
      <c r="D18" s="114"/>
      <c r="E18" s="21"/>
      <c r="F18" s="21"/>
      <c r="G18" s="21"/>
      <c r="H18" s="21"/>
      <c r="I18" s="21"/>
      <c r="J18" s="21"/>
      <c r="K18" s="21"/>
      <c r="L18" s="105"/>
      <c r="M18" s="101"/>
    </row>
    <row r="19" spans="1:13" x14ac:dyDescent="0.25">
      <c r="A19" s="101"/>
      <c r="B19" s="104" t="s">
        <v>193</v>
      </c>
      <c r="C19" s="106"/>
      <c r="D19" s="106"/>
      <c r="E19" s="21"/>
      <c r="F19" s="21"/>
      <c r="G19" s="21"/>
      <c r="H19" s="21"/>
      <c r="I19" s="21"/>
      <c r="J19" s="21"/>
      <c r="K19" s="21"/>
      <c r="L19" s="105"/>
      <c r="M19" s="101"/>
    </row>
    <row r="20" spans="1:13" x14ac:dyDescent="0.25">
      <c r="A20" s="101"/>
      <c r="B20" s="104"/>
      <c r="C20" s="106" t="s">
        <v>194</v>
      </c>
      <c r="D20" s="106"/>
      <c r="E20" s="21"/>
      <c r="F20" s="21"/>
      <c r="G20" s="21"/>
      <c r="H20" s="21"/>
      <c r="I20" s="67">
        <f>H23</f>
        <v>0</v>
      </c>
      <c r="J20" s="67">
        <f t="shared" ref="J20:L20" si="5">I23</f>
        <v>0</v>
      </c>
      <c r="K20" s="67">
        <f t="shared" si="5"/>
        <v>0</v>
      </c>
      <c r="L20" s="107">
        <f t="shared" si="5"/>
        <v>0</v>
      </c>
      <c r="M20" s="101"/>
    </row>
    <row r="21" spans="1:13" x14ac:dyDescent="0.25">
      <c r="A21" s="101"/>
      <c r="B21" s="104"/>
      <c r="C21" s="106" t="s">
        <v>188</v>
      </c>
      <c r="D21" s="106"/>
      <c r="E21" s="21"/>
      <c r="F21" s="21"/>
      <c r="G21" s="21"/>
      <c r="H21" s="21"/>
      <c r="I21" s="21">
        <v>0</v>
      </c>
      <c r="J21" s="67">
        <v>0</v>
      </c>
      <c r="K21" s="21">
        <v>0</v>
      </c>
      <c r="L21" s="105">
        <v>0</v>
      </c>
      <c r="M21" s="101"/>
    </row>
    <row r="22" spans="1:13" x14ac:dyDescent="0.25">
      <c r="A22" s="101"/>
      <c r="B22" s="104"/>
      <c r="C22" s="106" t="s">
        <v>189</v>
      </c>
      <c r="D22" s="106"/>
      <c r="E22" s="21"/>
      <c r="F22" s="21"/>
      <c r="G22" s="21"/>
      <c r="H22" s="120"/>
      <c r="I22" s="21">
        <v>0</v>
      </c>
      <c r="J22" s="67">
        <v>0</v>
      </c>
      <c r="K22" s="21">
        <v>0</v>
      </c>
      <c r="L22" s="105">
        <v>0</v>
      </c>
      <c r="M22" s="101"/>
    </row>
    <row r="23" spans="1:13" x14ac:dyDescent="0.25">
      <c r="A23" s="101"/>
      <c r="B23" s="111"/>
      <c r="C23" s="110" t="s">
        <v>195</v>
      </c>
      <c r="D23" s="112"/>
      <c r="E23" s="21"/>
      <c r="F23" s="21"/>
      <c r="G23" s="21"/>
      <c r="H23" s="119">
        <f>'Balance Sheet'!I31</f>
        <v>0</v>
      </c>
      <c r="I23" s="67">
        <f>SUM(I20:I22)</f>
        <v>0</v>
      </c>
      <c r="J23" s="67">
        <f t="shared" ref="J23:L23" si="6">SUM(J20:J22)</f>
        <v>0</v>
      </c>
      <c r="K23" s="67">
        <f t="shared" si="6"/>
        <v>0</v>
      </c>
      <c r="L23" s="107">
        <f t="shared" si="6"/>
        <v>0</v>
      </c>
      <c r="M23" s="101"/>
    </row>
    <row r="24" spans="1:13" x14ac:dyDescent="0.25">
      <c r="A24" s="101"/>
      <c r="B24" s="104"/>
      <c r="C24" s="106" t="s">
        <v>196</v>
      </c>
      <c r="D24" s="113"/>
      <c r="E24" s="21"/>
      <c r="F24" s="21"/>
      <c r="G24" s="21"/>
      <c r="H24" s="21"/>
      <c r="I24" s="21">
        <f>AVERAGE(I20,I23)*I25</f>
        <v>0</v>
      </c>
      <c r="J24" s="21">
        <f t="shared" ref="J24:L24" si="7">AVERAGE(J20,J23)*J25</f>
        <v>0</v>
      </c>
      <c r="K24" s="21">
        <f t="shared" si="7"/>
        <v>0</v>
      </c>
      <c r="L24" s="105">
        <f t="shared" si="7"/>
        <v>0</v>
      </c>
      <c r="M24" s="101"/>
    </row>
    <row r="25" spans="1:13" x14ac:dyDescent="0.25">
      <c r="A25" s="101"/>
      <c r="B25" s="104"/>
      <c r="C25" s="21"/>
      <c r="D25" s="114" t="s">
        <v>197</v>
      </c>
      <c r="E25" s="21"/>
      <c r="F25" s="21"/>
      <c r="G25" s="21"/>
      <c r="H25" s="21"/>
      <c r="I25" s="122">
        <v>0.05</v>
      </c>
      <c r="J25" s="122">
        <v>0.05</v>
      </c>
      <c r="K25" s="122">
        <v>0.05</v>
      </c>
      <c r="L25" s="123">
        <v>0.05</v>
      </c>
      <c r="M25" s="101"/>
    </row>
    <row r="26" spans="1:13" x14ac:dyDescent="0.25">
      <c r="A26" s="101"/>
      <c r="B26" s="104"/>
      <c r="C26" s="21"/>
      <c r="D26" s="114"/>
      <c r="E26" s="21"/>
      <c r="F26" s="21"/>
      <c r="G26" s="21"/>
      <c r="H26" s="21"/>
      <c r="I26" s="21"/>
      <c r="J26" s="21"/>
      <c r="K26" s="21"/>
      <c r="L26" s="105"/>
      <c r="M26" s="101"/>
    </row>
    <row r="27" spans="1:13" x14ac:dyDescent="0.25">
      <c r="A27" s="101"/>
      <c r="B27" s="20"/>
      <c r="C27" s="110" t="s">
        <v>198</v>
      </c>
      <c r="D27" s="106"/>
      <c r="E27" s="21"/>
      <c r="F27" s="21"/>
      <c r="G27" s="21"/>
      <c r="H27" s="21"/>
      <c r="I27" s="21">
        <f>SUM(I13:I14)+SUM(I21:I22)</f>
        <v>5626324</v>
      </c>
      <c r="J27" s="124">
        <f t="shared" ref="J27:L27" si="8">SUM(J13:J14)+SUM(J21:J22)</f>
        <v>-1616353</v>
      </c>
      <c r="K27" s="124">
        <f t="shared" si="8"/>
        <v>-1185405</v>
      </c>
      <c r="L27" s="129">
        <f t="shared" si="8"/>
        <v>-3000000</v>
      </c>
      <c r="M27" s="101"/>
    </row>
    <row r="28" spans="1:13" x14ac:dyDescent="0.25">
      <c r="A28" s="101"/>
      <c r="B28" s="20"/>
      <c r="C28" s="21"/>
      <c r="D28" s="21"/>
      <c r="E28" s="21"/>
      <c r="F28" s="21"/>
      <c r="G28" s="21"/>
      <c r="H28" s="21"/>
      <c r="I28" s="21"/>
      <c r="J28" s="21"/>
      <c r="K28" s="21"/>
      <c r="L28" s="105"/>
      <c r="M28" s="101"/>
    </row>
    <row r="29" spans="1:13" x14ac:dyDescent="0.25">
      <c r="A29" s="101"/>
      <c r="B29" s="20"/>
      <c r="C29" s="110" t="s">
        <v>199</v>
      </c>
      <c r="D29" s="106"/>
      <c r="E29" s="21"/>
      <c r="F29" s="21"/>
      <c r="G29" s="21"/>
      <c r="H29" s="21"/>
      <c r="I29" s="108">
        <f>I16+I24</f>
        <v>167867.25</v>
      </c>
      <c r="J29" s="108">
        <f t="shared" ref="J29:L29" si="9">J16+J24</f>
        <v>268116.52500000002</v>
      </c>
      <c r="K29" s="108">
        <f t="shared" si="9"/>
        <v>198072.57500000001</v>
      </c>
      <c r="L29" s="109">
        <f t="shared" si="9"/>
        <v>93437.450000000012</v>
      </c>
      <c r="M29" s="101"/>
    </row>
    <row r="30" spans="1:13" x14ac:dyDescent="0.25">
      <c r="A30" s="101"/>
      <c r="B30" s="20"/>
      <c r="C30" s="21"/>
      <c r="D30" s="21"/>
      <c r="E30" s="21"/>
      <c r="F30" s="21"/>
      <c r="G30" s="21"/>
      <c r="H30" s="21"/>
      <c r="I30" s="4"/>
      <c r="J30" s="4"/>
      <c r="K30" s="4"/>
      <c r="L30" s="8"/>
    </row>
    <row r="31" spans="1:13" x14ac:dyDescent="0.25">
      <c r="A31" s="101"/>
      <c r="B31" s="20"/>
      <c r="C31" s="110" t="s">
        <v>200</v>
      </c>
      <c r="D31" s="106"/>
      <c r="E31" s="21"/>
      <c r="F31" s="21"/>
      <c r="G31" s="119">
        <f>'Balance Sheet'!H25</f>
        <v>6248151</v>
      </c>
      <c r="I31" s="80">
        <f ca="1">I6+I7+I27</f>
        <v>6616223.2307359371</v>
      </c>
      <c r="J31" s="80">
        <f ca="1">J6+J7+J27</f>
        <v>2707603.7015890107</v>
      </c>
      <c r="K31" s="80">
        <f t="shared" ref="K31:L31" ca="1" si="10">K6+K7+K27</f>
        <v>3811762.9801575346</v>
      </c>
      <c r="L31" s="81">
        <f t="shared" ca="1" si="10"/>
        <v>1759298.4510656744</v>
      </c>
    </row>
    <row r="32" spans="1:13" x14ac:dyDescent="0.25">
      <c r="A32" s="101"/>
      <c r="B32" s="20"/>
      <c r="C32" s="106" t="s">
        <v>201</v>
      </c>
      <c r="D32" s="115"/>
      <c r="E32" s="21"/>
      <c r="F32" s="21"/>
      <c r="G32" s="21"/>
      <c r="H32" s="21"/>
      <c r="I32" s="80">
        <f ca="1">AVERAGE(I6,I31)*I33</f>
        <v>96482.806730519529</v>
      </c>
      <c r="J32" s="80">
        <f t="shared" ref="J32:L32" ca="1" si="11">AVERAGE(J6,J31)*J33</f>
        <v>69928.701992437112</v>
      </c>
      <c r="K32" s="80">
        <f t="shared" ca="1" si="11"/>
        <v>48895.250113099086</v>
      </c>
      <c r="L32" s="81">
        <f t="shared" ca="1" si="11"/>
        <v>41782.960734174063</v>
      </c>
    </row>
    <row r="33" spans="1:13" x14ac:dyDescent="0.25">
      <c r="A33" s="101"/>
      <c r="B33" s="116"/>
      <c r="C33" s="117"/>
      <c r="D33" s="118" t="s">
        <v>202</v>
      </c>
      <c r="E33" s="117"/>
      <c r="F33" s="117"/>
      <c r="G33" s="117"/>
      <c r="H33" s="117"/>
      <c r="I33" s="130">
        <v>1.4999999999999999E-2</v>
      </c>
      <c r="J33" s="130">
        <v>1.4999999999999999E-2</v>
      </c>
      <c r="K33" s="130">
        <v>1.4999999999999999E-2</v>
      </c>
      <c r="L33" s="131">
        <v>1.4999999999999999E-2</v>
      </c>
    </row>
    <row r="34" spans="1:13" x14ac:dyDescent="0.25">
      <c r="A34" s="101"/>
      <c r="B34" s="101"/>
      <c r="C34" s="101"/>
      <c r="D34" s="101"/>
      <c r="E34" s="101"/>
      <c r="F34" s="101"/>
      <c r="G34" s="101"/>
      <c r="H34" s="101"/>
    </row>
    <row r="35" spans="1:13" x14ac:dyDescent="0.25">
      <c r="A35" s="101"/>
      <c r="B35" s="101"/>
      <c r="C35" s="101"/>
      <c r="D35" s="101"/>
      <c r="E35" s="101" t="s">
        <v>9</v>
      </c>
      <c r="F35" s="127" t="s">
        <v>113</v>
      </c>
      <c r="G35" s="101">
        <v>2019</v>
      </c>
      <c r="H35" s="101">
        <v>2018</v>
      </c>
      <c r="I35">
        <v>2017</v>
      </c>
    </row>
    <row r="36" spans="1:13" x14ac:dyDescent="0.25">
      <c r="D36" t="s">
        <v>203</v>
      </c>
      <c r="F36" s="23">
        <v>248211</v>
      </c>
      <c r="G36" s="23">
        <v>355393</v>
      </c>
      <c r="H36" s="23">
        <v>146126</v>
      </c>
    </row>
    <row r="37" spans="1:13" x14ac:dyDescent="0.25">
      <c r="D37" t="s">
        <v>55</v>
      </c>
      <c r="F37" s="23">
        <v>16988524</v>
      </c>
      <c r="G37" s="23">
        <v>14646088</v>
      </c>
      <c r="H37" s="23">
        <v>14504823</v>
      </c>
      <c r="K37" s="128" t="s">
        <v>218</v>
      </c>
    </row>
    <row r="38" spans="1:13" ht="15.75" thickBot="1" x14ac:dyDescent="0.3">
      <c r="D38" t="s">
        <v>206</v>
      </c>
      <c r="F38" s="126">
        <f>F36/F37</f>
        <v>1.4610510012523748E-2</v>
      </c>
      <c r="G38" s="126">
        <f t="shared" ref="G38:H38" si="12">G36/G37</f>
        <v>2.4265387453632669E-2</v>
      </c>
      <c r="H38" s="126">
        <f t="shared" si="12"/>
        <v>1.0074304250386234E-2</v>
      </c>
      <c r="K38" s="25">
        <f>AVERAGE(F38:H38)</f>
        <v>1.6316733905514216E-2</v>
      </c>
    </row>
    <row r="39" spans="1:13" ht="15.75" thickTop="1" x14ac:dyDescent="0.25">
      <c r="M39" t="s">
        <v>138</v>
      </c>
    </row>
    <row r="40" spans="1:13" x14ac:dyDescent="0.25">
      <c r="D40" t="s">
        <v>204</v>
      </c>
      <c r="F40" s="23">
        <v>35608</v>
      </c>
      <c r="G40" s="23">
        <v>104982</v>
      </c>
      <c r="H40" s="23">
        <v>137105</v>
      </c>
      <c r="M40" t="s">
        <v>205</v>
      </c>
    </row>
    <row r="41" spans="1:13" x14ac:dyDescent="0.25">
      <c r="D41" t="s">
        <v>207</v>
      </c>
      <c r="F41" s="125">
        <f>6175434</f>
        <v>6175434</v>
      </c>
      <c r="G41" s="125">
        <f>8931+544183</f>
        <v>553114</v>
      </c>
      <c r="H41" s="125">
        <f>251392+8803558</f>
        <v>9054950</v>
      </c>
      <c r="M41" t="s">
        <v>208</v>
      </c>
    </row>
    <row r="42" spans="1:13" x14ac:dyDescent="0.25">
      <c r="D42" t="s">
        <v>206</v>
      </c>
      <c r="F42" s="25">
        <f>F40/F41</f>
        <v>5.7660724736107614E-3</v>
      </c>
      <c r="G42" s="25">
        <f t="shared" ref="G42" si="13">G40/G41</f>
        <v>0.18980174068998434</v>
      </c>
      <c r="H42" s="25">
        <f t="shared" ref="H42" si="14">H40/H41</f>
        <v>1.5141441973727077E-2</v>
      </c>
      <c r="M42" t="s">
        <v>209</v>
      </c>
    </row>
    <row r="43" spans="1:13" x14ac:dyDescent="0.25">
      <c r="M43" t="s">
        <v>210</v>
      </c>
    </row>
    <row r="44" spans="1:13" x14ac:dyDescent="0.25">
      <c r="D44" t="s">
        <v>204</v>
      </c>
      <c r="F44" s="23">
        <v>35608</v>
      </c>
      <c r="G44" s="23">
        <v>104982</v>
      </c>
      <c r="H44" s="23">
        <v>137105</v>
      </c>
    </row>
    <row r="45" spans="1:13" x14ac:dyDescent="0.25">
      <c r="D45" t="s">
        <v>207</v>
      </c>
      <c r="F45" s="125">
        <f>6175434</f>
        <v>6175434</v>
      </c>
      <c r="G45" s="125">
        <f>8931+544183</f>
        <v>553114</v>
      </c>
      <c r="H45" s="125">
        <f>251392+8803558</f>
        <v>9054950</v>
      </c>
      <c r="I45" s="125">
        <f>9684884+259392</f>
        <v>9944276</v>
      </c>
      <c r="K45" s="128" t="s">
        <v>218</v>
      </c>
    </row>
    <row r="46" spans="1:13" ht="15.75" thickBot="1" x14ac:dyDescent="0.3">
      <c r="D46" t="s">
        <v>206</v>
      </c>
      <c r="F46" s="126">
        <f>F44/(AVERAGE(F45:G45))</f>
        <v>1.0584155749501972E-2</v>
      </c>
      <c r="G46" s="126">
        <f t="shared" ref="G46:H46" si="15">G44/(AVERAGE(G45:H45))</f>
        <v>2.1852893569401701E-2</v>
      </c>
      <c r="H46" s="126">
        <f t="shared" si="15"/>
        <v>1.443269320550216E-2</v>
      </c>
      <c r="K46" s="25">
        <f>AVERAGE(F46:H46)</f>
        <v>1.5623247508135278E-2</v>
      </c>
    </row>
    <row r="47" spans="1:13" ht="15.75" thickTop="1" x14ac:dyDescent="0.25"/>
  </sheetData>
  <mergeCells count="2">
    <mergeCell ref="E2:H2"/>
    <mergeCell ref="I2:L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9"/>
  <sheetViews>
    <sheetView zoomScale="85" zoomScaleNormal="85" workbookViewId="0">
      <selection activeCell="B3" sqref="B3"/>
    </sheetView>
  </sheetViews>
  <sheetFormatPr defaultRowHeight="15" x14ac:dyDescent="0.25"/>
  <cols>
    <col min="2" max="2" width="40" customWidth="1"/>
    <col min="5" max="5" width="16.5703125" bestFit="1" customWidth="1"/>
    <col min="6" max="6" width="18.85546875" bestFit="1" customWidth="1"/>
    <col min="7" max="7" width="13.85546875" bestFit="1" customWidth="1"/>
    <col min="8" max="11" width="12.85546875" bestFit="1" customWidth="1"/>
    <col min="12" max="12" width="14.28515625" customWidth="1"/>
    <col min="15" max="15" width="15.140625" bestFit="1" customWidth="1"/>
  </cols>
  <sheetData>
    <row r="2" spans="1:11" x14ac:dyDescent="0.25">
      <c r="D2" s="243" t="s">
        <v>1</v>
      </c>
      <c r="E2" s="243"/>
      <c r="F2" s="243"/>
      <c r="G2" s="244" t="s">
        <v>2</v>
      </c>
      <c r="H2" s="244"/>
      <c r="I2" s="244"/>
      <c r="J2" s="244"/>
    </row>
    <row r="3" spans="1:11" ht="15.75" thickBot="1" x14ac:dyDescent="0.3">
      <c r="A3" s="101"/>
      <c r="B3" s="3" t="s">
        <v>3</v>
      </c>
      <c r="C3" s="174"/>
      <c r="D3" s="5" t="s">
        <v>4</v>
      </c>
      <c r="E3" s="5" t="s">
        <v>5</v>
      </c>
      <c r="F3" s="5" t="s">
        <v>11</v>
      </c>
      <c r="G3" s="5" t="s">
        <v>6</v>
      </c>
      <c r="H3" s="5" t="s">
        <v>7</v>
      </c>
      <c r="I3" s="5" t="s">
        <v>8</v>
      </c>
      <c r="J3" s="5" t="s">
        <v>10</v>
      </c>
      <c r="K3" s="4"/>
    </row>
    <row r="4" spans="1:11" x14ac:dyDescent="0.25">
      <c r="A4" s="101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x14ac:dyDescent="0.25">
      <c r="A5" s="101"/>
      <c r="B5" s="175" t="s">
        <v>261</v>
      </c>
      <c r="C5" s="176"/>
      <c r="D5" s="176"/>
      <c r="E5" s="101"/>
      <c r="F5" s="101"/>
      <c r="G5" s="177"/>
      <c r="H5" s="177"/>
      <c r="I5" s="177"/>
      <c r="J5" s="177"/>
    </row>
    <row r="6" spans="1:11" x14ac:dyDescent="0.25">
      <c r="A6" s="101"/>
      <c r="B6" s="176" t="s">
        <v>260</v>
      </c>
      <c r="C6" s="101"/>
      <c r="D6" s="176"/>
      <c r="E6" s="101"/>
      <c r="F6" s="101"/>
      <c r="G6" s="177">
        <f ca="1">'Income Statement'!K39</f>
        <v>-5281480</v>
      </c>
      <c r="H6" s="177">
        <f ca="1">'Income Statement'!L39</f>
        <v>-5372000.7888892163</v>
      </c>
      <c r="I6" s="177">
        <f ca="1">'Income Statement'!M39</f>
        <v>585702.48637043452</v>
      </c>
      <c r="J6" s="177">
        <f ca="1">'Income Statement'!N39</f>
        <v>11263384.581305947</v>
      </c>
    </row>
    <row r="7" spans="1:11" x14ac:dyDescent="0.25">
      <c r="A7" s="101"/>
      <c r="B7" s="176" t="s">
        <v>262</v>
      </c>
      <c r="C7" s="101"/>
      <c r="D7" s="176"/>
      <c r="E7" s="101"/>
      <c r="F7" s="101"/>
      <c r="G7" s="178">
        <f>-'Income Statement'!K26</f>
        <v>3195006</v>
      </c>
      <c r="H7" s="178">
        <f>-'Income Statement'!L26</f>
        <v>3498428.4471677034</v>
      </c>
      <c r="I7" s="178">
        <f>-'Income Statement'!M26</f>
        <v>3489357.8058518679</v>
      </c>
      <c r="J7" s="178">
        <f>-'Income Statement'!N26</f>
        <v>3541536.625582675</v>
      </c>
    </row>
    <row r="8" spans="1:11" x14ac:dyDescent="0.25">
      <c r="A8" s="101"/>
      <c r="B8" s="176" t="s">
        <v>263</v>
      </c>
      <c r="C8" s="101"/>
      <c r="D8" s="176"/>
      <c r="E8" s="101"/>
      <c r="F8" s="101"/>
      <c r="G8" s="179"/>
      <c r="H8" s="179"/>
      <c r="I8" s="179"/>
      <c r="J8" s="179"/>
    </row>
    <row r="9" spans="1:11" x14ac:dyDescent="0.25">
      <c r="A9" s="101"/>
      <c r="B9" s="176" t="s">
        <v>264</v>
      </c>
      <c r="C9" s="101"/>
      <c r="D9" s="176"/>
      <c r="E9" s="101"/>
      <c r="F9" s="101"/>
      <c r="G9" s="179"/>
      <c r="H9" s="179"/>
      <c r="I9" s="179"/>
      <c r="J9" s="179"/>
    </row>
    <row r="10" spans="1:11" x14ac:dyDescent="0.25">
      <c r="A10" s="101"/>
      <c r="B10" s="176" t="s">
        <v>265</v>
      </c>
      <c r="C10" s="101"/>
      <c r="D10" s="176"/>
      <c r="E10" s="101"/>
      <c r="F10" s="101"/>
      <c r="G10" s="178">
        <f>'Operating Working Capital'!J22</f>
        <v>211347.05555555597</v>
      </c>
      <c r="H10" s="178">
        <f>'Operating Working Capital'!K22</f>
        <v>-3042178.1526856534</v>
      </c>
      <c r="I10" s="178">
        <f>'Operating Working Capital'!L22</f>
        <v>-3435309.8423766568</v>
      </c>
      <c r="J10" s="178">
        <f>'Operating Working Capital'!M22</f>
        <v>8894565.3045688309</v>
      </c>
    </row>
    <row r="11" spans="1:11" x14ac:dyDescent="0.25">
      <c r="A11" s="101"/>
      <c r="B11" s="176" t="s">
        <v>266</v>
      </c>
      <c r="C11" s="101"/>
      <c r="D11" s="176"/>
      <c r="E11" s="101"/>
      <c r="F11" s="101"/>
      <c r="G11" s="178">
        <f>'Cash Flow Statement'!J33</f>
        <v>-4000000</v>
      </c>
      <c r="H11" s="178">
        <f>'Cash Flow Statement'!K33</f>
        <v>-4000000</v>
      </c>
      <c r="I11" s="178">
        <f>'Cash Flow Statement'!L33</f>
        <v>-4000000</v>
      </c>
      <c r="J11" s="178">
        <f>'Cash Flow Statement'!M33</f>
        <v>-4000000</v>
      </c>
    </row>
    <row r="12" spans="1:11" x14ac:dyDescent="0.25">
      <c r="A12" s="101"/>
      <c r="B12" s="176" t="s">
        <v>267</v>
      </c>
      <c r="C12" s="101"/>
      <c r="D12" s="176"/>
      <c r="E12" s="101"/>
      <c r="F12" s="101"/>
      <c r="G12" s="178">
        <f>'Cash Flow Statement'!J27+'Cash Flow Statement'!J28</f>
        <v>-146119.38390006669</v>
      </c>
      <c r="H12" s="178">
        <f>'Cash Flow Statement'!K27+'Cash Flow Statement'!K28</f>
        <v>-257256.87108837857</v>
      </c>
      <c r="I12" s="178">
        <f>'Cash Flow Statement'!L27+'Cash Flow Statement'!L28</f>
        <v>-200915.13136972912</v>
      </c>
      <c r="J12" s="178">
        <f>'Cash Flow Statement'!M27+'Cash Flow Statement'!M28</f>
        <v>-245503.52611417725</v>
      </c>
    </row>
    <row r="13" spans="1:11" x14ac:dyDescent="0.25">
      <c r="A13" s="101"/>
      <c r="B13" s="175" t="s">
        <v>268</v>
      </c>
      <c r="C13" s="175"/>
      <c r="D13" s="175"/>
      <c r="E13" s="101"/>
      <c r="F13" s="101"/>
      <c r="G13" s="177">
        <f ca="1">SUM(G6:G12)</f>
        <v>-6021246.3283445109</v>
      </c>
      <c r="H13" s="177">
        <f t="shared" ref="H13:J13" ca="1" si="0">SUM(H6:H12)</f>
        <v>-9173007.3654955439</v>
      </c>
      <c r="I13" s="177">
        <f t="shared" ca="1" si="0"/>
        <v>-3561164.6815240835</v>
      </c>
      <c r="J13" s="177">
        <f t="shared" ca="1" si="0"/>
        <v>19453982.985343274</v>
      </c>
    </row>
    <row r="14" spans="1:11" x14ac:dyDescent="0.25">
      <c r="A14" s="101"/>
      <c r="B14" s="101"/>
      <c r="C14" s="101"/>
      <c r="D14" s="176"/>
      <c r="E14" s="101"/>
      <c r="F14" s="101"/>
      <c r="G14" s="101"/>
      <c r="H14" s="101"/>
      <c r="I14" s="101"/>
      <c r="J14" s="101"/>
    </row>
    <row r="15" spans="1:11" x14ac:dyDescent="0.25">
      <c r="A15" s="101"/>
      <c r="B15" s="175" t="s">
        <v>269</v>
      </c>
      <c r="C15" s="175"/>
      <c r="D15" s="176"/>
      <c r="E15" s="101"/>
      <c r="F15" s="101"/>
      <c r="G15" s="101"/>
      <c r="H15" s="101"/>
      <c r="I15" s="101"/>
      <c r="J15" s="101"/>
    </row>
    <row r="16" spans="1:11" ht="15.75" thickBot="1" x14ac:dyDescent="0.3">
      <c r="A16" s="101"/>
      <c r="B16" s="176" t="s">
        <v>270</v>
      </c>
      <c r="C16" s="101"/>
      <c r="D16" s="176"/>
      <c r="E16" s="101"/>
      <c r="F16" s="101"/>
      <c r="G16" s="101">
        <v>1</v>
      </c>
      <c r="H16" s="101">
        <v>2</v>
      </c>
      <c r="I16" s="101">
        <v>3</v>
      </c>
      <c r="J16" s="101">
        <v>4</v>
      </c>
    </row>
    <row r="17" spans="1:16" ht="15.75" thickBot="1" x14ac:dyDescent="0.3">
      <c r="A17" s="101"/>
      <c r="B17" s="176" t="s">
        <v>271</v>
      </c>
      <c r="C17" s="101"/>
      <c r="D17" s="176"/>
      <c r="E17" s="101"/>
      <c r="F17" s="180">
        <f>L28</f>
        <v>0.18764965559891203</v>
      </c>
      <c r="G17" s="181">
        <f ca="1">G13/(1+$F$17)^G16</f>
        <v>-5069884.2878105296</v>
      </c>
      <c r="H17" s="181">
        <f ca="1">H13/(1+$F$17)^H16</f>
        <v>-6503318.8569746716</v>
      </c>
      <c r="I17" s="181">
        <f t="shared" ref="I17" ca="1" si="1">I13/(1+$F$17)^I16</f>
        <v>-2125822.5818830337</v>
      </c>
      <c r="J17" s="181">
        <f ca="1">J13/(1+$F$17)^J16</f>
        <v>9778115.0551409163</v>
      </c>
      <c r="L17" s="235"/>
    </row>
    <row r="18" spans="1:16" x14ac:dyDescent="0.25">
      <c r="A18" s="101"/>
      <c r="B18" s="175" t="s">
        <v>272</v>
      </c>
      <c r="C18" s="101"/>
      <c r="D18" s="101"/>
      <c r="E18" s="101"/>
      <c r="F18" s="101"/>
      <c r="G18" s="181">
        <f ca="1">SUM(G17:J17)</f>
        <v>-3920910.6715273187</v>
      </c>
      <c r="H18" s="101"/>
      <c r="I18" s="101"/>
      <c r="J18" s="101"/>
    </row>
    <row r="19" spans="1:16" x14ac:dyDescent="0.25">
      <c r="A19" s="101"/>
      <c r="B19" s="175"/>
      <c r="C19" s="101"/>
      <c r="D19" s="101"/>
      <c r="E19" s="101"/>
      <c r="F19" s="101"/>
      <c r="G19" s="101"/>
      <c r="H19" s="101"/>
      <c r="I19" s="101"/>
      <c r="J19" s="101"/>
      <c r="K19" s="101"/>
    </row>
    <row r="20" spans="1:16" x14ac:dyDescent="0.25">
      <c r="A20" s="101"/>
      <c r="B20" s="182" t="s">
        <v>273</v>
      </c>
      <c r="C20" s="183"/>
      <c r="D20" s="183"/>
      <c r="E20" s="183"/>
      <c r="F20" s="184"/>
      <c r="G20" s="185"/>
      <c r="H20" s="185"/>
      <c r="I20" s="185"/>
      <c r="J20" s="186"/>
      <c r="K20" s="186"/>
      <c r="N20" s="187"/>
      <c r="O20" s="187"/>
    </row>
    <row r="21" spans="1:16" x14ac:dyDescent="0.25">
      <c r="A21" s="101"/>
      <c r="B21" s="188" t="s">
        <v>274</v>
      </c>
      <c r="C21" s="189"/>
      <c r="D21" s="189"/>
      <c r="E21" s="189"/>
      <c r="F21" s="190"/>
      <c r="G21" s="185"/>
      <c r="H21" s="185"/>
      <c r="I21" s="185"/>
      <c r="J21" s="188" t="s">
        <v>275</v>
      </c>
      <c r="K21" s="191"/>
      <c r="L21" s="191"/>
      <c r="M21" s="191"/>
      <c r="N21" s="191"/>
      <c r="O21" s="192"/>
    </row>
    <row r="22" spans="1:16" ht="15.75" thickBot="1" x14ac:dyDescent="0.3">
      <c r="B22" s="193"/>
      <c r="C22" s="194" t="s">
        <v>276</v>
      </c>
      <c r="D22" s="183"/>
      <c r="E22" s="183"/>
      <c r="F22" s="195">
        <f ca="1">J6+J7</f>
        <v>14804921.206888622</v>
      </c>
      <c r="G22" s="183"/>
      <c r="H22" s="185"/>
      <c r="I22" s="183"/>
      <c r="J22" s="196" t="s">
        <v>277</v>
      </c>
      <c r="K22" s="183"/>
      <c r="L22" s="236">
        <v>5.4999999999999997E-3</v>
      </c>
      <c r="M22" s="197" t="s">
        <v>300</v>
      </c>
      <c r="N22" s="183"/>
      <c r="O22" s="198">
        <f>'Balance Sheet'!H31+'Balance Sheet'!H42</f>
        <v>553114</v>
      </c>
      <c r="P22" t="s">
        <v>278</v>
      </c>
    </row>
    <row r="23" spans="1:16" ht="15.75" thickBot="1" x14ac:dyDescent="0.3">
      <c r="B23" s="193"/>
      <c r="C23" s="194" t="s">
        <v>309</v>
      </c>
      <c r="D23" s="183"/>
      <c r="E23" s="183"/>
      <c r="F23" s="199">
        <f>(O22*1000+O25-'Balance Sheet'!H25*1000)/(('Income Statement'!G40-'Income Statement'!H40+'Income Statement'!I40)*1000)</f>
        <v>31.723575185285913</v>
      </c>
      <c r="G23" s="185" t="s">
        <v>279</v>
      </c>
      <c r="H23" s="185"/>
      <c r="I23" s="183"/>
      <c r="J23" s="196" t="s">
        <v>280</v>
      </c>
      <c r="K23" s="183"/>
      <c r="L23" s="236">
        <v>0.09</v>
      </c>
      <c r="M23" s="196" t="s">
        <v>281</v>
      </c>
      <c r="N23" s="183"/>
      <c r="O23" s="232">
        <v>54.05</v>
      </c>
    </row>
    <row r="24" spans="1:16" x14ac:dyDescent="0.25">
      <c r="B24" s="193"/>
      <c r="C24" s="194" t="s">
        <v>273</v>
      </c>
      <c r="D24" s="183"/>
      <c r="E24" s="183"/>
      <c r="F24" s="200">
        <f ca="1">F22*F23</f>
        <v>469665031.01896507</v>
      </c>
      <c r="G24" s="185" t="s">
        <v>282</v>
      </c>
      <c r="H24" s="185"/>
      <c r="I24" s="183"/>
      <c r="J24" s="196" t="s">
        <v>283</v>
      </c>
      <c r="K24" s="183"/>
      <c r="L24" s="237">
        <v>1.56</v>
      </c>
      <c r="M24" s="196" t="s">
        <v>284</v>
      </c>
      <c r="N24" s="183"/>
      <c r="O24" s="233">
        <v>4335195676</v>
      </c>
    </row>
    <row r="25" spans="1:16" x14ac:dyDescent="0.25">
      <c r="B25" s="201"/>
      <c r="C25" s="202" t="s">
        <v>285</v>
      </c>
      <c r="D25" s="203"/>
      <c r="E25" s="203"/>
      <c r="F25" s="204">
        <f ca="1">F24/(1+F17)^J16</f>
        <v>236066758.88118815</v>
      </c>
      <c r="G25" s="205"/>
      <c r="H25" s="185"/>
      <c r="I25" s="183"/>
      <c r="J25" s="197" t="s">
        <v>286</v>
      </c>
      <c r="K25" s="183"/>
      <c r="L25" s="206">
        <f>L22+L23*L24</f>
        <v>0.1459</v>
      </c>
      <c r="M25" s="197" t="s">
        <v>287</v>
      </c>
      <c r="N25" s="183"/>
      <c r="O25" s="198">
        <f>O23*O24</f>
        <v>234317326287.79999</v>
      </c>
    </row>
    <row r="26" spans="1:16" x14ac:dyDescent="0.25">
      <c r="B26" s="188" t="s">
        <v>288</v>
      </c>
      <c r="C26" s="189"/>
      <c r="D26" s="189"/>
      <c r="E26" s="189"/>
      <c r="F26" s="190"/>
      <c r="G26" s="185"/>
      <c r="H26" s="185"/>
      <c r="I26" s="183"/>
      <c r="J26" s="197" t="s">
        <v>289</v>
      </c>
      <c r="K26" s="183"/>
      <c r="L26" s="207">
        <f>'Debt Schedule'!I17</f>
        <v>0.05</v>
      </c>
      <c r="M26" s="193"/>
      <c r="N26" s="183"/>
      <c r="O26" s="208"/>
    </row>
    <row r="27" spans="1:16" ht="15.75" thickBot="1" x14ac:dyDescent="0.3">
      <c r="B27" s="209"/>
      <c r="C27" s="210" t="s">
        <v>261</v>
      </c>
      <c r="D27" s="211"/>
      <c r="E27" s="211"/>
      <c r="F27" s="212">
        <f ca="1">J13</f>
        <v>19453982.985343274</v>
      </c>
      <c r="G27" s="183"/>
      <c r="H27" s="185"/>
      <c r="I27" s="183"/>
      <c r="J27" s="193"/>
      <c r="K27" s="183"/>
      <c r="L27" s="183"/>
      <c r="M27" s="193"/>
      <c r="N27" s="183"/>
      <c r="O27" s="208"/>
    </row>
    <row r="28" spans="1:16" ht="15.75" thickBot="1" x14ac:dyDescent="0.3">
      <c r="B28" s="193"/>
      <c r="C28" s="194" t="s">
        <v>290</v>
      </c>
      <c r="D28" s="183"/>
      <c r="E28" s="183"/>
      <c r="F28" s="213">
        <v>0.1</v>
      </c>
      <c r="G28" s="185"/>
      <c r="H28" s="185"/>
      <c r="I28" s="183"/>
      <c r="J28" s="214" t="s">
        <v>291</v>
      </c>
      <c r="K28" s="203"/>
      <c r="L28" s="234">
        <f>L25*O25/(O22+O25)+L26*(1-L33)*O22/(+O22)</f>
        <v>0.18764965559891203</v>
      </c>
      <c r="M28" s="201"/>
      <c r="N28" s="203"/>
      <c r="O28" s="215"/>
    </row>
    <row r="29" spans="1:16" x14ac:dyDescent="0.25">
      <c r="B29" s="193"/>
      <c r="C29" s="194" t="s">
        <v>273</v>
      </c>
      <c r="D29" s="183"/>
      <c r="E29" s="183"/>
      <c r="F29" s="239">
        <f ca="1">F27*(1+F28)/(F17-F28)</f>
        <v>244146781.1556721</v>
      </c>
      <c r="G29" s="216"/>
      <c r="H29" s="185"/>
      <c r="I29" s="183"/>
      <c r="J29" s="187"/>
      <c r="K29" s="187"/>
      <c r="L29" s="187"/>
      <c r="M29" s="187"/>
      <c r="N29" s="187"/>
      <c r="O29" s="187"/>
    </row>
    <row r="30" spans="1:16" x14ac:dyDescent="0.25">
      <c r="B30" s="201"/>
      <c r="C30" s="202" t="s">
        <v>285</v>
      </c>
      <c r="D30" s="203"/>
      <c r="E30" s="203"/>
      <c r="F30" s="217">
        <f ca="1">F29/(1+F17)^J16</f>
        <v>122714989.43332437</v>
      </c>
      <c r="G30" s="205"/>
      <c r="H30" s="185"/>
      <c r="I30" s="183"/>
      <c r="J30" s="187" t="s">
        <v>303</v>
      </c>
      <c r="K30" s="187"/>
      <c r="L30" s="187"/>
      <c r="M30" s="187"/>
      <c r="N30" s="187" t="s">
        <v>302</v>
      </c>
      <c r="O30" s="187"/>
    </row>
    <row r="31" spans="1:16" x14ac:dyDescent="0.25">
      <c r="B31" s="183"/>
      <c r="C31" s="183"/>
      <c r="D31" s="183"/>
      <c r="E31" s="183"/>
      <c r="F31" s="183"/>
      <c r="G31" s="183"/>
      <c r="H31" s="183"/>
      <c r="I31" s="183"/>
      <c r="J31" s="183" t="s">
        <v>304</v>
      </c>
      <c r="K31" s="183"/>
      <c r="L31" s="183"/>
      <c r="M31" s="183"/>
      <c r="N31" s="183"/>
      <c r="O31" s="183"/>
    </row>
    <row r="32" spans="1:16" x14ac:dyDescent="0.25">
      <c r="B32" s="188" t="s">
        <v>292</v>
      </c>
      <c r="C32" s="189"/>
      <c r="D32" s="189"/>
      <c r="E32" s="218" t="s">
        <v>293</v>
      </c>
      <c r="F32" s="219" t="s">
        <v>288</v>
      </c>
      <c r="G32" s="185"/>
      <c r="H32" s="185"/>
      <c r="I32" s="183"/>
      <c r="J32" s="187" t="s">
        <v>305</v>
      </c>
      <c r="K32" s="187"/>
      <c r="L32" s="187"/>
      <c r="M32" s="187"/>
      <c r="N32" s="187"/>
      <c r="O32" s="187"/>
    </row>
    <row r="33" spans="2:15" x14ac:dyDescent="0.25">
      <c r="B33" s="193" t="s">
        <v>294</v>
      </c>
      <c r="C33" s="220"/>
      <c r="D33" s="220"/>
      <c r="E33" s="221">
        <f ca="1">G18</f>
        <v>-3920910.6715273187</v>
      </c>
      <c r="F33" s="195">
        <f ca="1">G18</f>
        <v>-3920910.6715273187</v>
      </c>
      <c r="G33" s="187" t="s">
        <v>310</v>
      </c>
      <c r="H33" s="187"/>
      <c r="I33" s="187"/>
      <c r="J33" s="187" t="s">
        <v>306</v>
      </c>
      <c r="K33" s="187"/>
      <c r="L33" s="238">
        <v>0.16500000000000001</v>
      </c>
      <c r="M33" s="187"/>
      <c r="N33" s="187"/>
      <c r="O33" s="187"/>
    </row>
    <row r="34" spans="2:15" x14ac:dyDescent="0.25">
      <c r="B34" s="193" t="s">
        <v>295</v>
      </c>
      <c r="C34" s="220"/>
      <c r="D34" s="220"/>
      <c r="E34" s="221">
        <f ca="1">F25</f>
        <v>236066758.88118815</v>
      </c>
      <c r="F34" s="195">
        <f ca="1">F30</f>
        <v>122714989.43332437</v>
      </c>
      <c r="G34" s="187"/>
      <c r="H34" s="187"/>
      <c r="I34" s="187"/>
      <c r="J34" s="187"/>
      <c r="K34" s="187"/>
      <c r="L34" s="187"/>
      <c r="M34" s="187"/>
      <c r="N34" s="222"/>
      <c r="O34" s="222"/>
    </row>
    <row r="35" spans="2:15" x14ac:dyDescent="0.25">
      <c r="B35" s="197" t="s">
        <v>296</v>
      </c>
      <c r="C35" s="220"/>
      <c r="D35" s="220"/>
      <c r="E35" s="223">
        <f ca="1">SUM(E33:E34)</f>
        <v>232145848.20966083</v>
      </c>
      <c r="F35" s="224">
        <f ca="1">SUM(F33:F34)</f>
        <v>118794078.76179704</v>
      </c>
      <c r="G35" s="187"/>
      <c r="H35" s="187"/>
      <c r="I35" s="187"/>
      <c r="J35" s="187"/>
      <c r="K35" s="187"/>
      <c r="L35" s="187"/>
      <c r="M35" s="187"/>
      <c r="N35" s="187"/>
      <c r="O35" s="187"/>
    </row>
    <row r="36" spans="2:15" x14ac:dyDescent="0.25">
      <c r="B36" s="193" t="s">
        <v>297</v>
      </c>
      <c r="C36" s="220"/>
      <c r="D36" s="220"/>
      <c r="E36" s="221">
        <f>O22-'Balance Sheet'!H25</f>
        <v>-5695037</v>
      </c>
      <c r="F36" s="195">
        <f>O22-'Balance Sheet'!H25</f>
        <v>-5695037</v>
      </c>
      <c r="G36" s="187" t="s">
        <v>310</v>
      </c>
      <c r="H36" s="187"/>
      <c r="I36" s="187"/>
      <c r="J36" s="187"/>
      <c r="K36" s="187"/>
      <c r="L36" s="187"/>
      <c r="M36" s="187"/>
      <c r="N36" s="187"/>
      <c r="O36" s="187"/>
    </row>
    <row r="37" spans="2:15" x14ac:dyDescent="0.25">
      <c r="B37" s="197" t="s">
        <v>287</v>
      </c>
      <c r="C37" s="225"/>
      <c r="D37" s="225"/>
      <c r="E37" s="223">
        <f ca="1">E35-E36</f>
        <v>237840885.20966083</v>
      </c>
      <c r="F37" s="224">
        <f ca="1">F35-F36</f>
        <v>124489115.76179704</v>
      </c>
      <c r="G37" s="187"/>
      <c r="H37" s="187"/>
      <c r="I37" s="187"/>
      <c r="J37" s="187"/>
      <c r="K37" s="187"/>
      <c r="L37" s="187"/>
      <c r="M37" s="187"/>
      <c r="N37" s="187"/>
      <c r="O37" s="187"/>
    </row>
    <row r="38" spans="2:15" x14ac:dyDescent="0.25">
      <c r="B38" s="193" t="s">
        <v>301</v>
      </c>
      <c r="C38" s="220"/>
      <c r="D38" s="220"/>
      <c r="E38" s="221">
        <f>O24</f>
        <v>4335195676</v>
      </c>
      <c r="F38" s="195">
        <f>O24</f>
        <v>4335195676</v>
      </c>
      <c r="G38" s="187" t="s">
        <v>310</v>
      </c>
      <c r="H38" s="187"/>
      <c r="I38" s="187"/>
      <c r="J38" s="187"/>
      <c r="K38" s="187"/>
      <c r="L38" s="187"/>
      <c r="M38" s="187"/>
      <c r="N38" s="226"/>
      <c r="O38" s="226"/>
    </row>
    <row r="39" spans="2:15" x14ac:dyDescent="0.25">
      <c r="B39" s="214" t="s">
        <v>298</v>
      </c>
      <c r="C39" s="227"/>
      <c r="D39" s="227"/>
      <c r="E39" s="228">
        <f ca="1">E37*1000/E38</f>
        <v>54.862779672522635</v>
      </c>
      <c r="F39" s="229">
        <f ca="1">F37*1000/F38</f>
        <v>28.715916204423952</v>
      </c>
      <c r="G39" s="187"/>
      <c r="H39" s="187"/>
      <c r="I39" s="187"/>
      <c r="J39" s="187"/>
      <c r="K39" s="187"/>
      <c r="L39" s="187"/>
      <c r="M39" s="187"/>
      <c r="N39" s="187"/>
      <c r="O39" s="187"/>
    </row>
  </sheetData>
  <mergeCells count="2">
    <mergeCell ref="D2:F2"/>
    <mergeCell ref="G2:J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6"/>
  <sheetViews>
    <sheetView workbookViewId="0">
      <selection activeCell="B2" sqref="B2"/>
    </sheetView>
  </sheetViews>
  <sheetFormatPr defaultRowHeight="15" x14ac:dyDescent="0.25"/>
  <sheetData>
    <row r="2" spans="2:2" x14ac:dyDescent="0.25">
      <c r="B2" s="15" t="s">
        <v>12</v>
      </c>
    </row>
    <row r="3" spans="2:2" x14ac:dyDescent="0.25">
      <c r="B3" s="16" t="s">
        <v>13</v>
      </c>
    </row>
    <row r="4" spans="2:2" x14ac:dyDescent="0.25">
      <c r="B4" s="17" t="s">
        <v>14</v>
      </c>
    </row>
    <row r="5" spans="2:2" x14ac:dyDescent="0.25">
      <c r="B5" s="18" t="s">
        <v>15</v>
      </c>
    </row>
    <row r="6" spans="2:2" x14ac:dyDescent="0.25">
      <c r="B6" s="19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Income Statement</vt:lpstr>
      <vt:lpstr>Balance Sheet</vt:lpstr>
      <vt:lpstr>Cash Flow Statement</vt:lpstr>
      <vt:lpstr>Operating Working Capital</vt:lpstr>
      <vt:lpstr>Depreciation</vt:lpstr>
      <vt:lpstr>Debt Schedule</vt:lpstr>
      <vt:lpstr>DCF</vt:lpstr>
      <vt:lpstr>Notes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 Ho</dc:creator>
  <cp:lastModifiedBy>Fabian Ho</cp:lastModifiedBy>
  <dcterms:created xsi:type="dcterms:W3CDTF">2015-06-05T18:17:20Z</dcterms:created>
  <dcterms:modified xsi:type="dcterms:W3CDTF">2020-11-07T04:55:21Z</dcterms:modified>
</cp:coreProperties>
</file>